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3"/>
  </bookViews>
  <sheets>
    <sheet name="Правила заполнения" sheetId="1" r:id="rId1"/>
    <sheet name="Финансовый план КФХ" sheetId="2" r:id="rId2"/>
    <sheet name="Финансовый план КФХ-СХК" sheetId="3" r:id="rId3"/>
    <sheet name="Финансовый план СХК" sheetId="4" r:id="rId4"/>
    <sheet name="Анализ рынка СХК" sheetId="5" r:id="rId5"/>
    <sheet name="План продаж СХК" sheetId="6" r:id="rId6"/>
    <sheet name="Инвестиционная программа СХК" sheetId="7" r:id="rId7"/>
    <sheet name="Доходы-расходы СХК" sheetId="8" r:id="rId8"/>
    <sheet name="График погашения кредита" sheetId="9" r:id="rId9"/>
  </sheets>
  <definedNames>
    <definedName name="крс1">'Правила заполнения'!$C$5</definedName>
  </definedNames>
  <calcPr fullCalcOnLoad="1"/>
</workbook>
</file>

<file path=xl/sharedStrings.xml><?xml version="1.0" encoding="utf-8"?>
<sst xmlns="http://schemas.openxmlformats.org/spreadsheetml/2006/main" count="615" uniqueCount="332">
  <si>
    <t>Потребительские группы в локации</t>
  </si>
  <si>
    <t>Группы</t>
  </si>
  <si>
    <t>Численность</t>
  </si>
  <si>
    <t>Доля</t>
  </si>
  <si>
    <t>%</t>
  </si>
  <si>
    <t>руб</t>
  </si>
  <si>
    <t>Конкуренты</t>
  </si>
  <si>
    <t>Адрес</t>
  </si>
  <si>
    <t>Прямой конкурент</t>
  </si>
  <si>
    <t>1. График выхода на проектную мощность</t>
  </si>
  <si>
    <t>Показатель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</si>
  <si>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</si>
  <si>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</si>
  <si>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</si>
  <si>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</si>
  <si>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</si>
  <si>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</si>
  <si>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</si>
  <si>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</si>
  <si>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</si>
  <si>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</si>
  <si>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</si>
  <si>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</si>
  <si>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>Темпы роста продаж (выход на полную мощность), %</t>
  </si>
  <si>
    <t>Выручка, тыс. руб.</t>
  </si>
  <si>
    <t>2. План продаж по годам</t>
  </si>
  <si>
    <t>1 год</t>
  </si>
  <si>
    <t>2 год</t>
  </si>
  <si>
    <t>3 год</t>
  </si>
  <si>
    <t>4 год</t>
  </si>
  <si>
    <t>5 год</t>
  </si>
  <si>
    <t>Темпы роста продаж (с учетом роста рынка), %</t>
  </si>
  <si>
    <t>3. Сезонность продаж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</si>
  <si>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</si>
  <si>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</si>
  <si>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</si>
  <si>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</si>
  <si>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</si>
  <si>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</si>
  <si>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</si>
  <si>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</si>
  <si>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</si>
  <si>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</si>
  <si>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</si>
  <si>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</si>
  <si>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Сезонность – доля потребителей по году, %</t>
  </si>
  <si>
    <t>1. Потребность в финансировании</t>
  </si>
  <si>
    <t>Статья инвестиций</t>
  </si>
  <si>
    <t>Всего затрат</t>
  </si>
  <si>
    <t>тыс. руб.</t>
  </si>
  <si>
    <t>ИТОГО</t>
  </si>
  <si>
    <t>2. График финансирования</t>
  </si>
  <si>
    <t>Кол-во</t>
  </si>
  <si>
    <t>Цена за единицу</t>
  </si>
  <si>
    <t>График финансирования, тыс. руб.</t>
  </si>
  <si>
    <t>ед.</t>
  </si>
  <si>
    <t>Должность в штатном расписании</t>
  </si>
  <si>
    <t>Количество</t>
  </si>
  <si>
    <t>Фонд</t>
  </si>
  <si>
    <t>Ставка, % от ФОТ</t>
  </si>
  <si>
    <t>ПФ</t>
  </si>
  <si>
    <t>22%</t>
  </si>
  <si>
    <t>ФСС</t>
  </si>
  <si>
    <t>2.9%</t>
  </si>
  <si>
    <t>ФМС</t>
  </si>
  <si>
    <t>5.1%</t>
  </si>
  <si>
    <t>ФСС НС и ПЗ</t>
  </si>
  <si>
    <t>0.2%</t>
  </si>
  <si>
    <t>ИТОГО взносы в фонды, тыс. руб.</t>
  </si>
  <si>
    <t>ИТОГО, ФОТ</t>
  </si>
  <si>
    <t>Расходы</t>
  </si>
  <si>
    <t>ИТОГО Операционные расходы</t>
  </si>
  <si>
    <t>Прочие расходы</t>
  </si>
  <si>
    <t xml:space="preserve">Ритэйл, фермерские и продуктовые магазины, рынки. </t>
  </si>
  <si>
    <t>кол-во</t>
  </si>
  <si>
    <t>Клиенты/магазины</t>
  </si>
  <si>
    <t>Точки продаж</t>
  </si>
  <si>
    <t>Расстояние от регионального центра, км</t>
  </si>
  <si>
    <t>2. Конкурентная/партнерская среда</t>
  </si>
  <si>
    <t>Статус</t>
  </si>
  <si>
    <t>Прямой конкурент/потребитель</t>
  </si>
  <si>
    <t>Ёмкость рынка</t>
  </si>
  <si>
    <t>ИТОГО год</t>
  </si>
  <si>
    <t>Количество покупателей</t>
  </si>
  <si>
    <t>Холодильная камера 11 м. куб.</t>
  </si>
  <si>
    <t>Уаз Стандарт,  Фургон-рефрижератор, 2 места Одинарная кабина, привод: 4х4  / Стандарт  (дв. ЗМЗ 409051, V = 2,69 л. – 150 л.с., бензин), подключаемый передний привод, фургон-рефрижератор, (ДхШхВ: 3100х2160х2135), холодильное оборудование Элинж С2Т: температурный режим охлаждения-обогрева -20…+10 °С.  При приобретении автомобиля к заказу обязательно приобретение опции (1 на выбор)</t>
  </si>
  <si>
    <t>Модульный цех для разделки и упаковки мяса</t>
  </si>
  <si>
    <t>Строительно-монтажные работы 150 кв. м., с подведением коммуникаций и подъездных путей.</t>
  </si>
  <si>
    <t>Уаз Профи для перевозки скота (Тент)</t>
  </si>
  <si>
    <t>Прочее (резерв)</t>
  </si>
  <si>
    <t>Капитальные затраты - всего, в том числе:</t>
  </si>
  <si>
    <t>Ёмкость рынка ВСЕГО</t>
  </si>
  <si>
    <t>Итого</t>
  </si>
  <si>
    <t>Бухгалтер</t>
  </si>
  <si>
    <t>Руководитель/менеджер по продажам</t>
  </si>
  <si>
    <t>ИТОГО ФОТ с начислениями</t>
  </si>
  <si>
    <t>Транспортные расходы, запасные части, коммунальные расходы, расходы на содержание зданий, канцелярские расходы и пр.</t>
  </si>
  <si>
    <t>стоимость 1 кг. в руб.</t>
  </si>
  <si>
    <t>Стоимость</t>
  </si>
  <si>
    <t>Стоимость 1 кг. В руб.</t>
  </si>
  <si>
    <t>Доход от реализации руб.</t>
  </si>
  <si>
    <t>Расходы руб.</t>
  </si>
  <si>
    <t>Налог 6% (доходы - расходы)</t>
  </si>
  <si>
    <t>Валовой доход руб.</t>
  </si>
  <si>
    <t>Расходы на погашение кредита, рублей</t>
  </si>
  <si>
    <t>Чистый доход руб.</t>
  </si>
  <si>
    <t xml:space="preserve">ФОТ с начислениями </t>
  </si>
  <si>
    <t>Наименование</t>
  </si>
  <si>
    <t>Доходы</t>
  </si>
  <si>
    <t>Чистая прибыль руб.</t>
  </si>
  <si>
    <t>3. Источник финансирования</t>
  </si>
  <si>
    <t>руб.</t>
  </si>
  <si>
    <t>Сельскохозяйственный перерабатывающий потребительский кооператив (10 КФХ), без НДС</t>
  </si>
  <si>
    <t>Крестьянско-фермерское хозяйство (начинающий фермер), член СПоК.</t>
  </si>
  <si>
    <t>Соль</t>
  </si>
  <si>
    <t>Ветеринарные препараты</t>
  </si>
  <si>
    <t>Грантовая поддержка "Начинающий фермер" (Собственное участие)</t>
  </si>
  <si>
    <t>Грантовая поддержка "Начинающий фермер" (Сумма Гранта)</t>
  </si>
  <si>
    <t>Кредит на приобретение бычков и пополнение оборотных средств на 3 года по ставке 5%</t>
  </si>
  <si>
    <t>Крестьянско-фермерское хозяйство (начинающий фермер).</t>
  </si>
  <si>
    <t>руб. /год</t>
  </si>
  <si>
    <t>Заполнять ячейки выделенные данным цветом</t>
  </si>
  <si>
    <t>Расходы на погашение кредита (основной долг и % по кредиту), рублей</t>
  </si>
  <si>
    <t>Цена за еденицу</t>
  </si>
  <si>
    <t>Кг в год</t>
  </si>
  <si>
    <t>Среднее количество потребления</t>
  </si>
  <si>
    <t>кг. в день</t>
  </si>
  <si>
    <t>кг. в год</t>
  </si>
  <si>
    <t>Ставка,  руб. в месяц</t>
  </si>
  <si>
    <t>ФОТ,  руб. в год</t>
  </si>
  <si>
    <t>Ставка, руб. в месяц</t>
  </si>
  <si>
    <t>ФОТ, руб. в год</t>
  </si>
  <si>
    <t xml:space="preserve"> руб. /год</t>
  </si>
  <si>
    <t>1.</t>
  </si>
  <si>
    <t>1.1.</t>
  </si>
  <si>
    <t>1.2.</t>
  </si>
  <si>
    <t>стоимость  в руб.</t>
  </si>
  <si>
    <t>1.3.</t>
  </si>
  <si>
    <t>1.4.</t>
  </si>
  <si>
    <t>1.5.</t>
  </si>
  <si>
    <t>1.6.</t>
  </si>
  <si>
    <t>1.7.</t>
  </si>
  <si>
    <t>1.8.</t>
  </si>
  <si>
    <t xml:space="preserve">Цена зависит от региона и указывается с доставкой. Может быть применена аналогичная добавка. Цена и объем могут меняться в большую и меньшую сторону. </t>
  </si>
  <si>
    <t xml:space="preserve">Цена зависит от региона и указывается с доставкой. Цена и объем могут меняться в большую и меньшую сторону. </t>
  </si>
  <si>
    <t>1.9.</t>
  </si>
  <si>
    <t xml:space="preserve">Ветеринарные препараты 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</si>
  <si>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</si>
  <si>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</si>
  <si>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</si>
  <si>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</si>
  <si>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</si>
  <si>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</si>
  <si>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</si>
  <si>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</si>
  <si>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</si>
  <si>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</si>
  <si>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</si>
  <si>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</si>
  <si>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</si>
  <si>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</si>
  <si>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</si>
  <si>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Указывается доля собственного участия, при получении грантовой поддержки.</t>
  </si>
  <si>
    <t>2.</t>
  </si>
  <si>
    <t>Заполняются ячейки выделенные данным цветом -</t>
  </si>
  <si>
    <t>3.</t>
  </si>
  <si>
    <t>3.1.</t>
  </si>
  <si>
    <t>кг</t>
  </si>
  <si>
    <t>1. Спрос на услуги в г.</t>
  </si>
  <si>
    <t>3.1.1.</t>
  </si>
  <si>
    <t>3.1.2.</t>
  </si>
  <si>
    <t>3.1.3.</t>
  </si>
  <si>
    <t>3.1.4.</t>
  </si>
  <si>
    <t>3.1.5.</t>
  </si>
  <si>
    <t>Анализ рынка в регионе</t>
  </si>
  <si>
    <t>Спрос на услуги</t>
  </si>
  <si>
    <t>Указывается населённый пункт.</t>
  </si>
  <si>
    <t>Оптовые/общественные рынки, ярмарки, фермерские магазины</t>
  </si>
  <si>
    <t>Федеральные/региональные розничные сети</t>
  </si>
  <si>
    <t>Конкурентная/партнерская среда</t>
  </si>
  <si>
    <t>ИТОГО %</t>
  </si>
  <si>
    <t>План продаж</t>
  </si>
  <si>
    <t>3.2.</t>
  </si>
  <si>
    <t>3.2.1.</t>
  </si>
  <si>
    <t>3.2.2.</t>
  </si>
  <si>
    <t>3.2.3.</t>
  </si>
  <si>
    <t>График выхода на проектную мощность</t>
  </si>
  <si>
    <t>План продаж по годам</t>
  </si>
  <si>
    <t>Сезонность продаж</t>
  </si>
  <si>
    <t>3.3.</t>
  </si>
  <si>
    <t>Потребность в финансировании</t>
  </si>
  <si>
    <t>Инвестиционная программа</t>
  </si>
  <si>
    <t>3.3.1.</t>
  </si>
  <si>
    <t>3.3.2.</t>
  </si>
  <si>
    <t>Информация справочная, расчёт производится автоматически.</t>
  </si>
  <si>
    <t>1. Штатное расписание, ФОТ, отчисления в фонды/кол-во голов:</t>
  </si>
  <si>
    <t>2. Расходы/ кол-во голов</t>
  </si>
  <si>
    <t>3. Доходы/ кол-во голов</t>
  </si>
  <si>
    <t>3.4.</t>
  </si>
  <si>
    <t>Доходы-расходы СХК</t>
  </si>
  <si>
    <t>3.4.1.</t>
  </si>
  <si>
    <t>Штатное расписание</t>
  </si>
  <si>
    <t>Грантовая поддержка  создание неделимого фонда на каждого члена кооператива/развитие МТБ (Собственное участие)</t>
  </si>
  <si>
    <t>Грантовая поддержкана создание неделимого фонда на каждого члена кооператива/развитие МТБ</t>
  </si>
  <si>
    <t>Комплекс мер поддержки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</si>
  <si>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</si>
  <si>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</si>
  <si>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</si>
  <si>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</si>
  <si>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</si>
  <si>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</si>
  <si>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</si>
  <si>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</si>
  <si>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</t>
  </si>
  <si>
    <t>Финансовый план СХК</t>
  </si>
  <si>
    <t>Услуги лаборатории</t>
  </si>
  <si>
    <t>Указывается размер собственного участия в % процентом соотношении</t>
  </si>
  <si>
    <r>
      <rPr>
        <b/>
        <sz val="10"/>
        <rFont val="Arial"/>
        <family val="2"/>
      </rPr>
      <t xml:space="preserve">Годовая прибыль от реализации проекта. </t>
    </r>
    <r>
      <rPr>
        <sz val="10"/>
        <rFont val="Arial"/>
        <family val="2"/>
      </rPr>
      <t xml:space="preserve">Если отрицательное значение, то проект убыточен и его реализация не рекомендуется. Данный результат </t>
    </r>
    <r>
      <rPr>
        <b/>
        <sz val="10"/>
        <rFont val="Arial"/>
        <family val="2"/>
      </rPr>
      <t>без учета получения кредитных средств</t>
    </r>
    <r>
      <rPr>
        <sz val="10"/>
        <rFont val="Arial"/>
        <family val="2"/>
      </rPr>
      <t>. Информация дана справочно.</t>
    </r>
  </si>
  <si>
    <r>
      <rPr>
        <b/>
        <sz val="10"/>
        <rFont val="Arial"/>
        <family val="2"/>
      </rPr>
      <t>Годовая прибыль от реализации проекта</t>
    </r>
    <r>
      <rPr>
        <sz val="10"/>
        <rFont val="Arial"/>
        <family val="2"/>
      </rPr>
      <t>. Если отрицательное значение, то проект убыточен и его реализация не рекомендуется. Данный результат рассчитан</t>
    </r>
    <r>
      <rPr>
        <b/>
        <sz val="10"/>
        <rFont val="Arial"/>
        <family val="2"/>
      </rPr>
      <t xml:space="preserve"> с учетом получения кредитных средств. </t>
    </r>
    <r>
      <rPr>
        <sz val="10"/>
        <rFont val="Arial"/>
        <family val="2"/>
      </rPr>
      <t>Информация дана справочно.</t>
    </r>
  </si>
  <si>
    <r>
      <t>Г</t>
    </r>
    <r>
      <rPr>
        <b/>
        <sz val="10"/>
        <rFont val="Arial"/>
        <family val="2"/>
      </rPr>
      <t xml:space="preserve">одовая прибыль от реализации проекта. </t>
    </r>
    <r>
      <rPr>
        <sz val="10"/>
        <rFont val="Arial"/>
        <family val="2"/>
      </rPr>
      <t>Если отрицательное значение, то проект убыточен и его реализация не рекомендуется. Данный результат рассчитан</t>
    </r>
    <r>
      <rPr>
        <b/>
        <sz val="10"/>
        <rFont val="Arial"/>
        <family val="2"/>
      </rPr>
      <t xml:space="preserve"> с учетом получения кредитных средств.</t>
    </r>
    <r>
      <rPr>
        <sz val="10"/>
        <rFont val="Arial"/>
        <family val="2"/>
      </rPr>
      <t xml:space="preserve"> Информация дана справочно.</t>
    </r>
  </si>
  <si>
    <r>
      <rPr>
        <b/>
        <sz val="10"/>
        <rFont val="Arial"/>
        <family val="2"/>
      </rPr>
      <t xml:space="preserve">Годовой план продаж. </t>
    </r>
    <r>
      <rPr>
        <sz val="10"/>
        <rFont val="Arial"/>
        <family val="2"/>
      </rPr>
      <t xml:space="preserve">В данном разделе указывается со сколькими потенциальными покупателями планируется заключить договора поставки. Анализ необходим для диверсификации риска сбыта продукции. </t>
    </r>
  </si>
  <si>
    <r>
      <rPr>
        <b/>
        <sz val="10"/>
        <rFont val="Arial"/>
        <family val="2"/>
      </rPr>
      <t>Потребление продукции в год в разбивке по месяцам</t>
    </r>
    <r>
      <rPr>
        <sz val="10"/>
        <rFont val="Arial"/>
        <family val="2"/>
      </rPr>
      <t xml:space="preserve">. Расчет производится в зависимости от региона реализации проекта. </t>
    </r>
  </si>
  <si>
    <t>График финансирования</t>
  </si>
  <si>
    <r>
      <rPr>
        <b/>
        <sz val="10"/>
        <rFont val="Arial"/>
        <family val="2"/>
      </rPr>
      <t>Заполняется штатное расписание на сотрудников с указанием заработной платы и количества сотрудников</t>
    </r>
    <r>
      <rPr>
        <sz val="10"/>
        <rFont val="Arial"/>
        <family val="2"/>
      </rPr>
      <t xml:space="preserve">. В зависимости от объёмов производства, количество сотрудников может увеличиваться, либо уменьшаться. Так же, заработная плата может увеличиваться, либо уменьшаться в зависимости от региона реализации проекта. </t>
    </r>
  </si>
  <si>
    <r>
      <rPr>
        <b/>
        <sz val="10"/>
        <rFont val="Arial"/>
        <family val="2"/>
      </rPr>
      <t>Годовые расходы на административно-хозяйственную деятельность.</t>
    </r>
    <r>
      <rPr>
        <sz val="10"/>
        <rFont val="Arial"/>
        <family val="2"/>
      </rPr>
      <t xml:space="preserve"> Может меняться в большую и меньшую сторону.</t>
    </r>
  </si>
  <si>
    <t xml:space="preserve">Кол-во дойных голов КРС </t>
  </si>
  <si>
    <t>Приобретение дойных коров</t>
  </si>
  <si>
    <t>ед. измерения кг/шт.</t>
  </si>
  <si>
    <t>Реализация сырого молока</t>
  </si>
  <si>
    <t>Кол-во голов КРС основного стада</t>
  </si>
  <si>
    <t xml:space="preserve">Стоимость создания основных фондов
</t>
  </si>
  <si>
    <t>Строительно-монтажные работы и приобретение оборудования на 1 голову КРС</t>
  </si>
  <si>
    <t>Холодильная камера с бытовым помещением.</t>
  </si>
  <si>
    <t xml:space="preserve">Автомобиль «Молоковоз» с охлаждением УАЗ-36221 с Цистерной 1500л (ЛКП), привод: 4х4 </t>
  </si>
  <si>
    <t>Генератор ледяной воды</t>
  </si>
  <si>
    <t xml:space="preserve">Стоимость создания основных фондов: СМР, модульный цех на переработку 3 т. литров молока, генератор ледяной воды, холодильная камера, автотранспорт
</t>
  </si>
  <si>
    <t>кол-во переработанного молока с 1 головы в год (литр/кг)</t>
  </si>
  <si>
    <t>расход 1 литра молока на 1 кг/литр производимой продукции</t>
  </si>
  <si>
    <t>кол-во произведённой продукции в год с 1 головы (литр/кг)</t>
  </si>
  <si>
    <t>Молоко пастеризованное (МДЖ 2,5%)</t>
  </si>
  <si>
    <t>Напиток кисломолочный кефирный (МДЖ 2,5%)</t>
  </si>
  <si>
    <t>Сыр Адыгейский</t>
  </si>
  <si>
    <t>Масло сливочное крестьянское (МДЖ 72,5%)</t>
  </si>
  <si>
    <t>Сыворотка</t>
  </si>
  <si>
    <t>Пахта</t>
  </si>
  <si>
    <t>Водитель</t>
  </si>
  <si>
    <t>Строительно-монтажные работы 15% от стоимости модульного цеха,  подведение коммуникаций и подъездных путей.</t>
  </si>
  <si>
    <t>Рабочие в цех</t>
  </si>
  <si>
    <t>Упаковка</t>
  </si>
  <si>
    <t>покупка молока у членов кооператива</t>
  </si>
  <si>
    <t>% молодняка</t>
  </si>
  <si>
    <t>БМВД (дойных коров)</t>
  </si>
  <si>
    <t xml:space="preserve">Силос (дойных коров)  </t>
  </si>
  <si>
    <t>Зерновая смесь (дойных коров)</t>
  </si>
  <si>
    <t>Силос  (телята от 0 до 6 мес., молодняк от 6 до 12 мес., телки, нетели сухостойные коровы)</t>
  </si>
  <si>
    <t>Зерновая смесь  (телята от 0 до 6 мес., молодняк от 6 до 12 мес., телки, нетели, сухостойные коровы)</t>
  </si>
  <si>
    <t>БМВД (телята от 0 до 6 мес., молодняк от 6 до 12 мес., телки, нетели, сухостойные коровы)</t>
  </si>
  <si>
    <t>стоимость в руб.</t>
  </si>
  <si>
    <t>Сметана (МДЖ 20%)</t>
  </si>
  <si>
    <t>Творог (МДЖ 9%)</t>
  </si>
  <si>
    <t>XXXXXX</t>
  </si>
  <si>
    <t>ООО XXXXXXXX</t>
  </si>
  <si>
    <t>ООО ХХХХХХХХ</t>
  </si>
  <si>
    <t>Потребление молочной продукции в год на 1 человека</t>
  </si>
  <si>
    <t>Средний чек за 1 кг. оптовые цены</t>
  </si>
  <si>
    <t>Всего инвестиций</t>
  </si>
  <si>
    <t>Собственное участие 10 членов СХК в рамках грантовой поддержки на развитие МТБ или создание неделимого фонда Агростартап</t>
  </si>
  <si>
    <t>Грант на поддержку СХК развития МТБ или создание неделимого фонда Агростартап</t>
  </si>
  <si>
    <t>Сумма кредита</t>
  </si>
  <si>
    <t>Погашение</t>
  </si>
  <si>
    <t>Проценты</t>
  </si>
  <si>
    <t>Месяц</t>
  </si>
  <si>
    <t>Ежемесячный платеж</t>
  </si>
  <si>
    <t xml:space="preserve"> </t>
  </si>
  <si>
    <t>Стоимость создания основных фондов: СМР, оборудование и техника (80 тыс. руб. на 1 скотоместо), приобретение дойных коров.</t>
  </si>
  <si>
    <t>Реализация молока. Стоимость за 1 литр может меняться в большую, или меньшую сторону. Так же возможно менять объем годового удоя с одной головы дойной коровы.</t>
  </si>
  <si>
    <t>Годовой рацион (телята от 0 до 6 мес., молодняк от 6 до 12 мес., телки, нетели, сухостойные коровы), с указанием объёма и стоимости за 1 кг. Возможно менять рацион, объём и стоимость.</t>
  </si>
  <si>
    <t>Годовой кормовой рацион одной головы дойной коровы, с указанием объёма и стоимости кормов за 1 кг. Возможно менять рацион, объём и стоимость.</t>
  </si>
  <si>
    <t xml:space="preserve">Наименование кормов, их цена и объем могут меняться в большую и меньшую сторону. </t>
  </si>
  <si>
    <t>Транспортные, коммунальные и иные расходы. Выбраковка (мастит, репрудуктивные функции, хромота и т.д.), ремонт основного стада.</t>
  </si>
  <si>
    <t>В случае необходимости указывается сумма кредита (на пополнение оборотных средств и создание основных фондов).</t>
  </si>
  <si>
    <t>Кол-во голов КРС</t>
  </si>
  <si>
    <t>В данных ячейках указывается кол-во голов дойных голов и процент молодняка от дойного стада. Выбирается один из вариантов 10/15/20, в других ставиться 0. Возможно запланировать другое кол-во, заполняется любой вариант расчета в остальных ставится значение 0.</t>
  </si>
  <si>
    <r>
      <t xml:space="preserve">Указывается </t>
    </r>
    <r>
      <rPr>
        <b/>
        <sz val="10"/>
        <rFont val="Arial"/>
        <family val="2"/>
      </rPr>
      <t>стоимость создания основных фондов</t>
    </r>
    <r>
      <rPr>
        <sz val="10"/>
        <rFont val="Arial"/>
        <family val="2"/>
      </rPr>
      <t xml:space="preserve"> (строительно-монтажные работы, приобретение техники, оборудования, подведение коммуникаций и т.д.) </t>
    </r>
    <r>
      <rPr>
        <b/>
        <sz val="10"/>
        <rFont val="Arial"/>
        <family val="2"/>
      </rPr>
      <t>с расчетом на одно скотоместо</t>
    </r>
    <r>
      <rPr>
        <sz val="10"/>
        <rFont val="Arial"/>
        <family val="2"/>
      </rPr>
      <t xml:space="preserve">. Данная стоимость одного скотоместа может меняться как в большую так и в меньшую сторону в зависимости от региона реализации проекта. Так же указывается стоимость одной </t>
    </r>
    <r>
      <rPr>
        <b/>
        <sz val="10"/>
        <rFont val="Arial"/>
        <family val="2"/>
      </rPr>
      <t>головы коровы</t>
    </r>
    <r>
      <rPr>
        <sz val="10"/>
        <rFont val="Arial"/>
        <family val="2"/>
      </rPr>
      <t>.</t>
    </r>
  </si>
  <si>
    <t>Реализация молока. Стоимость за 1 литр зависит от цены которую будет предлагать сельскохозяйственный кооператив. Так же возможно менять объем годового удоя с одной головы дойной коровы.</t>
  </si>
  <si>
    <t>Реализация молока. Цена может регулироваться в большую или меньшую сторону. Так же возможно менять годовой удой на 1 дойную корову.</t>
  </si>
  <si>
    <t>Реализация молока. Цена регулируется сельскохозяйственным кооперативом. Возможно менять годовой удой на 1 дойную корову.</t>
  </si>
  <si>
    <r>
      <rPr>
        <b/>
        <sz val="10"/>
        <rFont val="Arial"/>
        <family val="2"/>
      </rPr>
      <t>Годовая прибыль от реализации проекта.</t>
    </r>
    <r>
      <rPr>
        <sz val="10"/>
        <rFont val="Arial"/>
        <family val="2"/>
      </rPr>
      <t xml:space="preserve"> Если отрицательное значение, то проект убыточен и его реализация не рекомендуется. Данный результат </t>
    </r>
    <r>
      <rPr>
        <b/>
        <sz val="10"/>
        <rFont val="Arial"/>
        <family val="2"/>
      </rPr>
      <t>без учета получения кредитных средств.</t>
    </r>
    <r>
      <rPr>
        <sz val="10"/>
        <rFont val="Arial"/>
        <family val="2"/>
      </rPr>
      <t xml:space="preserve"> Информация дана справочно. </t>
    </r>
  </si>
  <si>
    <t>Кредит на приобретение коров и пополнение оборотных средств на 3 года по ставке 5%</t>
  </si>
  <si>
    <t>Указывается число жителей населённого пункта и средне-годовое потребление молочных продуктов в год на душу населения.</t>
  </si>
  <si>
    <t>Указывается канал сбыта и какая доля сбыта проходит через него.</t>
  </si>
  <si>
    <t>Анализируются потенциальные возможные поставщики и конкуренты. Заполняется не менее по пяти самым значимым в регионе реализации проекта.</t>
  </si>
  <si>
    <r>
      <rPr>
        <b/>
        <sz val="10"/>
        <rFont val="Arial"/>
        <family val="2"/>
      </rPr>
      <t xml:space="preserve">Годовой график выхода на полную мощность для кооператива который перерабатывает молоко в год получаемое от надоев 100/150/200 дойных коров. </t>
    </r>
    <r>
      <rPr>
        <sz val="10"/>
        <rFont val="Arial"/>
        <family val="2"/>
      </rPr>
      <t>Возможно уменьшение, или увеличение забиваемых бычков в год. Мощность приобретаемого обоурудования позволяет осуществлять переработку 3 тонн молока в смену.</t>
    </r>
  </si>
  <si>
    <t xml:space="preserve">Кол-во дойных коров </t>
  </si>
  <si>
    <r>
      <rPr>
        <b/>
        <sz val="10"/>
        <rFont val="Arial"/>
        <family val="2"/>
      </rPr>
      <t xml:space="preserve">В данных ячейках указывается кол-во голов дойных коров в год. </t>
    </r>
    <r>
      <rPr>
        <sz val="10"/>
        <rFont val="Arial"/>
        <family val="2"/>
      </rPr>
      <t>Молоко приобретается у членов кооператива. Выбирается один из вариантов 100/150/200, в других ставиться 0. Возможно запланировать другое кол-во дойных коров, в зависимости от поголовья имеющегося у членов кооператива, либо у сторонних поставщиков, заполняется любой вариант расчета в остальных ставится значение 0.</t>
    </r>
  </si>
  <si>
    <t>Реализация переработанной молочной продукции</t>
  </si>
  <si>
    <t>Представленный в данной финансовой модели ассортимент переработанной продукции зависит от приобретаемого оборудования. Есть возможность внесения изменений в ассортимент реализуемой продукции и ее стоимость.</t>
  </si>
  <si>
    <t>Переработка молока (МДЖ 3,7%) в год с 1 дойной коровы:</t>
  </si>
  <si>
    <t>Покупка молока у членов кооператива</t>
  </si>
  <si>
    <r>
      <rPr>
        <b/>
        <sz val="10"/>
        <rFont val="Arial"/>
        <family val="2"/>
      </rPr>
      <t>В данном разделе указывается стоимость приобретения сырого молока у членов кооператива.</t>
    </r>
    <r>
      <rPr>
        <sz val="10"/>
        <rFont val="Arial"/>
        <family val="2"/>
      </rPr>
      <t xml:space="preserve"> Указывая значение цены, необходимо обращать внимание на финансовый результат деятельности кооператива. </t>
    </r>
  </si>
  <si>
    <t>Грантовая поддержка на развитие МТБ, или Агростартап</t>
  </si>
  <si>
    <t>Указывается % гранта, который планируется получить.</t>
  </si>
  <si>
    <t>3.5.9.</t>
  </si>
  <si>
    <t>Финансовый план Крестьянско-фермерского хозяйства (начинающий фермер)</t>
  </si>
  <si>
    <t>Финансовый план Крестьянско-фермерского хозяйства (начинающий фермер), член СПоК.</t>
  </si>
  <si>
    <r>
      <rPr>
        <b/>
        <sz val="10"/>
        <rFont val="Arial"/>
        <family val="2"/>
      </rPr>
      <t>Укзывается список оборудования и техники, которое необходимо приобрести</t>
    </r>
    <r>
      <rPr>
        <sz val="10"/>
        <rFont val="Arial"/>
        <family val="2"/>
      </rPr>
      <t xml:space="preserve">, возможно указать другое оборудование, так же его стоимость и количество. Оборудование рассматриваемое в данном примере рассчитано на переработку трех тонн молока в смену. </t>
    </r>
  </si>
  <si>
    <r>
      <t xml:space="preserve">В данных ячейках указывается </t>
    </r>
    <r>
      <rPr>
        <b/>
        <sz val="10"/>
        <rFont val="Arial"/>
        <family val="2"/>
      </rPr>
      <t>кол-во голов дойных коров и процент молодняка дойного стада.</t>
    </r>
    <r>
      <rPr>
        <sz val="10"/>
        <rFont val="Arial"/>
        <family val="2"/>
      </rPr>
      <t xml:space="preserve"> Выбирается один из вариантов 10/15/20, в других ставиться 0. Возможно запланировать другое кол-во, заполняется любой вариант расчета в остальных ставится значение 0.</t>
    </r>
  </si>
  <si>
    <r>
      <t>Указывается</t>
    </r>
    <r>
      <rPr>
        <b/>
        <sz val="10"/>
        <rFont val="Arial"/>
        <family val="2"/>
      </rPr>
      <t xml:space="preserve"> стоимость создания основных фондов</t>
    </r>
    <r>
      <rPr>
        <sz val="10"/>
        <rFont val="Arial"/>
        <family val="2"/>
      </rPr>
      <t xml:space="preserve"> (строительно-монтажные работы, приобретение техники, оборудования, подведение коммуникаций и т.д.) </t>
    </r>
    <r>
      <rPr>
        <b/>
        <sz val="10"/>
        <rFont val="Arial"/>
        <family val="2"/>
      </rPr>
      <t>с расчетом на одно скотоместо</t>
    </r>
    <r>
      <rPr>
        <sz val="10"/>
        <rFont val="Arial"/>
        <family val="2"/>
      </rPr>
      <t xml:space="preserve">. Данная стоимость одного скотоместа может меняться как в большую, так и в меньшую сторону в зависимости от региона реализации проекта. Так же указывается стоимость одной </t>
    </r>
    <r>
      <rPr>
        <b/>
        <sz val="10"/>
        <rFont val="Arial"/>
        <family val="2"/>
      </rPr>
      <t>головы коровы</t>
    </r>
    <r>
      <rPr>
        <sz val="10"/>
        <rFont val="Arial"/>
        <family val="2"/>
      </rPr>
      <t>.</t>
    </r>
  </si>
  <si>
    <r>
      <t xml:space="preserve">Предполагается </t>
    </r>
    <r>
      <rPr>
        <b/>
        <sz val="10"/>
        <rFont val="Arial"/>
        <family val="2"/>
      </rPr>
      <t>приобретение ветеринарных препаратов</t>
    </r>
    <r>
      <rPr>
        <sz val="10"/>
        <rFont val="Arial"/>
        <family val="2"/>
      </rPr>
      <t xml:space="preserve"> в зависимости от потребностей. Цена и кол-во может меняться в большую, или меньшую сторону.</t>
    </r>
  </si>
  <si>
    <r>
      <rPr>
        <b/>
        <sz val="10"/>
        <rFont val="Arial"/>
        <family val="2"/>
      </rPr>
      <t>Предполагается покупка трёх-четырёх месячных бычков у сельскохозяйственного предприятия</t>
    </r>
    <r>
      <rPr>
        <sz val="10"/>
        <rFont val="Arial"/>
        <family val="2"/>
      </rPr>
      <t xml:space="preserve"> занимающегося молочным производством. Цена и объем могут меняться в большую и меньшую сторону. </t>
    </r>
  </si>
  <si>
    <r>
      <rPr>
        <b/>
        <sz val="10"/>
        <rFont val="Arial"/>
        <family val="2"/>
      </rPr>
      <t>Предполагается приобретение ветеринарных препаратов</t>
    </r>
    <r>
      <rPr>
        <sz val="10"/>
        <rFont val="Arial"/>
        <family val="2"/>
      </rPr>
      <t xml:space="preserve"> в зависимости от потребностей. Цена и кол-во может меняться в большую, или меньшую сторону.</t>
    </r>
  </si>
  <si>
    <t>Бизнес-план и финансовая модель СПоК</t>
  </si>
  <si>
    <t>Дополнительные расходы которые могут возникнуть, но не учтены в данной финансовой моделе.</t>
  </si>
  <si>
    <r>
      <rPr>
        <b/>
        <sz val="10"/>
        <rFont val="Arial"/>
        <family val="2"/>
      </rPr>
      <t>Годовые расходы на услуги лаборатории</t>
    </r>
    <r>
      <rPr>
        <sz val="10"/>
        <rFont val="Arial"/>
        <family val="2"/>
      </rPr>
      <t>. Может меняться в большую или меньшую сторону.</t>
    </r>
  </si>
  <si>
    <t>Сумма считается автоматически, если в струтктуре финансирования есть потребность в получении кредитной поддержки, в том числе 30% от собственного участия в грантовой поддержке на создание МТБ. Дополнительно возможно указать дополнительную сумму кредитной поддержки в данном проекте, указав сумму в соответствующей ячейке выделенной синим цветом.</t>
  </si>
  <si>
    <t>Кредит (займ) на приобретение основных фондов и пополнение оборотных средств на 3 года по ставке 5%, в том числе 30% от собственного участия в грантовой поддержке на развитие МТБ</t>
  </si>
  <si>
    <t xml:space="preserve">Модульный молочный цех, на приёмку, очистку и переработку 3000 кг. молока в смену, с получением и хранением следующих продуктов: молоко пастеризованное и напиток кисломолочный кефирный упакованный в полиэтиленовые пакеты, сметана, или сливки питьевые фасованные в пластиковые стаканы, творог весовой, сыр мягкий Адыгейский фасованный в пищевую плёнку, масло сливочное Крестьянское (МДЖ 72,5%), сыворотка, пахта. Анализатор молока.  </t>
  </si>
  <si>
    <t>Кредит по льготной процентной ставке 5% по программе льготного кредитования МСХ РФ</t>
  </si>
  <si>
    <t xml:space="preserve">График погашения процентов кредита СППК </t>
  </si>
  <si>
    <t xml:space="preserve">4. </t>
  </si>
  <si>
    <t>График погашения кредитных средств</t>
  </si>
  <si>
    <t>Нужно указать размер процентной ставки по кредиту СПоК</t>
  </si>
  <si>
    <t>Кол-во дойных голов КРС:</t>
  </si>
  <si>
    <t>Сено (дойных коров)</t>
  </si>
  <si>
    <t>Сено (телята от 0 до 6 мес., молодняк от 6 до 12 мес., телки, нетели, сухостойные коровы)</t>
  </si>
  <si>
    <t>1.13.</t>
  </si>
  <si>
    <t xml:space="preserve">Транспортные, коммунальные (моющие средства, инвентарь и т.д.) и иные расходы. </t>
  </si>
  <si>
    <t>Выбраковка (мастит, репродуктивные функции, хромота и т.д.), ремонт основного стада.</t>
  </si>
  <si>
    <r>
      <t xml:space="preserve">Учитываются </t>
    </r>
    <r>
      <rPr>
        <b/>
        <sz val="10"/>
        <rFont val="Arial"/>
        <family val="2"/>
      </rPr>
      <t>расходы на содержание хозяйства</t>
    </r>
    <r>
      <rPr>
        <sz val="10"/>
        <rFont val="Arial"/>
        <family val="2"/>
      </rPr>
      <t xml:space="preserve"> - электричество, вывоз навоза, вывоз мусора, ГСМ и т.д.</t>
    </r>
    <r>
      <rPr>
        <b/>
        <sz val="10"/>
        <rFont val="Arial"/>
        <family val="2"/>
      </rPr>
      <t>Сумма указывается в год.</t>
    </r>
    <r>
      <rPr>
        <sz val="10"/>
        <rFont val="Arial"/>
        <family val="2"/>
      </rPr>
      <t xml:space="preserve"> Может меняться в большую и меньшую сторону в зависмости от региона.</t>
    </r>
  </si>
  <si>
    <r>
      <t>Учтены расходы по выбраковке и ремонту основного стада.</t>
    </r>
    <r>
      <rPr>
        <b/>
        <sz val="10"/>
        <rFont val="Arial"/>
        <family val="2"/>
      </rPr>
      <t xml:space="preserve"> Сумма указывается в год. </t>
    </r>
    <r>
      <rPr>
        <sz val="10"/>
        <rFont val="Arial"/>
        <family val="2"/>
      </rPr>
      <t>Может меняться в большую и меньшую сторону в зависмости от региона.</t>
    </r>
  </si>
  <si>
    <t>2.13.</t>
  </si>
  <si>
    <t>Учитываются расходы на содержание хозяйства - электричество, вывоз навоза, вывоз мусора, ГСМ и т.д. Сумма указывается в год. Может меняться в большую и меньшую сторону в зависмости от региона.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</si>
</sst>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[$₽-419]_-;\-* #,##0.00\ [$₽-419]_-;_-* &quot;-&quot;??\ [$₽-419]_-;_-@_-"/>
    <numFmt numFmtId="169" formatCode="#,##0.00\ &quot;₽&quot;"/>
    <numFmt numFmtId="170" formatCode="#,##0.00\ [$₽-419];\-#,##0.00\ [$₽-419]"/>
    <numFmt numFmtId="171" formatCode="0.00_ ;[Red]\-0.00\ "/>
    <numFmt numFmtId="172" formatCode="#,##0.00\ &quot;₽&quot;;[Red]#,##0.00\ &quot;₽&quot;"/>
    <numFmt numFmtId="173" formatCode="#,##0.00_ ;\-#,##0.00\ "/>
    <numFmt numFmtId="174" formatCode="#,##0_ ;\-#,##0\ "/>
    <numFmt numFmtId="175" formatCode="[$-FC19]d\ mmmm\ yyyy\ &quot;г.&quot;"/>
    <numFmt numFmtId="176" formatCode="#,##0\ &quot;₽&quot;"/>
  </numFmts>
  <fonts count="63">
    <font>
      <sz val="10"/>
      <name val="Arial"/>
      <family val="0"/>
    </font>
    <font>
      <sz val="18"/>
      <color indexed="33"/>
      <name val="Calibri"/>
      <family val="2"/>
    </font>
    <font>
      <sz val="14"/>
      <color indexed="33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color indexed="33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56"/>
      <name val="Arial"/>
      <family val="2"/>
    </font>
    <font>
      <sz val="11"/>
      <color indexed="63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6"/>
      <color rgb="FF002060"/>
      <name val="Arial"/>
      <family val="2"/>
    </font>
    <font>
      <sz val="11"/>
      <color rgb="FF222222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/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10" fontId="0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 horizontal="right" vertical="center" wrapText="1"/>
      <protection locked="0"/>
    </xf>
    <xf numFmtId="169" fontId="55" fillId="33" borderId="10" xfId="0" applyNumberFormat="1" applyFont="1" applyFill="1" applyBorder="1" applyAlignment="1" applyProtection="1">
      <alignment vertical="center" wrapText="1"/>
      <protection locked="0"/>
    </xf>
    <xf numFmtId="9" fontId="56" fillId="33" borderId="10" xfId="0" applyNumberFormat="1" applyFont="1" applyFill="1" applyBorder="1" applyAlignment="1" applyProtection="1">
      <alignment vertical="center" wrapText="1"/>
      <protection locked="0"/>
    </xf>
    <xf numFmtId="168" fontId="57" fillId="0" borderId="11" xfId="0" applyNumberFormat="1" applyFont="1" applyBorder="1" applyAlignment="1" applyProtection="1">
      <alignment horizontal="center" vertical="center" wrapText="1" readingOrder="1"/>
      <protection hidden="1"/>
    </xf>
    <xf numFmtId="168" fontId="57" fillId="0" borderId="11" xfId="0" applyNumberFormat="1" applyFont="1" applyBorder="1" applyAlignment="1" applyProtection="1">
      <alignment horizontal="center" wrapText="1" readingOrder="1"/>
      <protection hidden="1"/>
    </xf>
    <xf numFmtId="168" fontId="57" fillId="0" borderId="12" xfId="0" applyNumberFormat="1" applyFont="1" applyBorder="1" applyAlignment="1" applyProtection="1">
      <alignment horizontal="center" vertical="center" wrapText="1" readingOrder="1"/>
      <protection hidden="1"/>
    </xf>
    <xf numFmtId="0" fontId="58" fillId="33" borderId="0" xfId="0" applyFont="1" applyFill="1" applyBorder="1" applyAlignment="1" applyProtection="1">
      <alignment horizontal="center" vertical="center" wrapText="1"/>
      <protection hidden="1" locked="0"/>
    </xf>
    <xf numFmtId="0" fontId="41" fillId="0" borderId="0" xfId="42" applyAlignment="1" quotePrefix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8" fontId="57" fillId="0" borderId="15" xfId="0" applyNumberFormat="1" applyFont="1" applyBorder="1" applyAlignment="1" applyProtection="1">
      <alignment horizontal="center" vertical="center" wrapText="1" readingOrder="1"/>
      <protection hidden="1"/>
    </xf>
    <xf numFmtId="169" fontId="56" fillId="34" borderId="16" xfId="0" applyNumberFormat="1" applyFont="1" applyFill="1" applyBorder="1" applyAlignment="1" applyProtection="1">
      <alignment horizontal="right" wrapText="1"/>
      <protection hidden="1"/>
    </xf>
    <xf numFmtId="169" fontId="56" fillId="13" borderId="17" xfId="0" applyNumberFormat="1" applyFont="1" applyFill="1" applyBorder="1" applyAlignment="1" applyProtection="1">
      <alignment horizontal="left" vertical="center" wrapText="1"/>
      <protection hidden="1"/>
    </xf>
    <xf numFmtId="169" fontId="56" fillId="13" borderId="17" xfId="0" applyNumberFormat="1" applyFont="1" applyFill="1" applyBorder="1" applyAlignment="1" applyProtection="1">
      <alignment horizontal="center" vertical="center" wrapText="1"/>
      <protection hidden="1"/>
    </xf>
    <xf numFmtId="8" fontId="56" fillId="13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10" xfId="42" applyBorder="1" applyAlignment="1">
      <alignment wrapText="1"/>
    </xf>
    <xf numFmtId="0" fontId="56" fillId="34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wrapText="1"/>
    </xf>
    <xf numFmtId="10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42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41" fillId="0" borderId="22" xfId="42" applyBorder="1" applyAlignment="1">
      <alignment wrapText="1"/>
    </xf>
    <xf numFmtId="0" fontId="0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4" fontId="0" fillId="34" borderId="10" xfId="0" applyNumberFormat="1" applyFont="1" applyFill="1" applyBorder="1" applyAlignment="1" applyProtection="1">
      <alignment horizontal="right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2" fontId="56" fillId="33" borderId="25" xfId="0" applyNumberFormat="1" applyFont="1" applyFill="1" applyBorder="1" applyAlignment="1" applyProtection="1">
      <alignment vertical="center" wrapText="1"/>
      <protection locked="0"/>
    </xf>
    <xf numFmtId="2" fontId="56" fillId="33" borderId="26" xfId="0" applyNumberFormat="1" applyFont="1" applyFill="1" applyBorder="1" applyAlignment="1" applyProtection="1">
      <alignment vertical="center" wrapText="1"/>
      <protection locked="0"/>
    </xf>
    <xf numFmtId="0" fontId="56" fillId="33" borderId="27" xfId="0" applyFont="1" applyFill="1" applyBorder="1" applyAlignment="1" applyProtection="1">
      <alignment vertical="center" wrapText="1"/>
      <protection locked="0"/>
    </xf>
    <xf numFmtId="0" fontId="56" fillId="33" borderId="25" xfId="0" applyFont="1" applyFill="1" applyBorder="1" applyAlignment="1" applyProtection="1">
      <alignment vertical="center" wrapText="1"/>
      <protection locked="0"/>
    </xf>
    <xf numFmtId="0" fontId="56" fillId="33" borderId="26" xfId="0" applyFont="1" applyFill="1" applyBorder="1" applyAlignment="1" applyProtection="1">
      <alignment vertical="center" wrapText="1"/>
      <protection locked="0"/>
    </xf>
    <xf numFmtId="0" fontId="56" fillId="33" borderId="28" xfId="0" applyFont="1" applyFill="1" applyBorder="1" applyAlignment="1" applyProtection="1">
      <alignment vertical="center" wrapText="1"/>
      <protection locked="0"/>
    </xf>
    <xf numFmtId="1" fontId="56" fillId="33" borderId="27" xfId="0" applyNumberFormat="1" applyFont="1" applyFill="1" applyBorder="1" applyAlignment="1" applyProtection="1">
      <alignment vertical="center" wrapText="1"/>
      <protection locked="0"/>
    </xf>
    <xf numFmtId="169" fontId="56" fillId="33" borderId="10" xfId="0" applyNumberFormat="1" applyFont="1" applyFill="1" applyBorder="1" applyAlignment="1" applyProtection="1">
      <alignment wrapText="1"/>
      <protection locked="0"/>
    </xf>
    <xf numFmtId="44" fontId="59" fillId="0" borderId="19" xfId="0" applyNumberFormat="1" applyFont="1" applyBorder="1" applyAlignment="1" applyProtection="1">
      <alignment vertical="center" wrapText="1" readingOrder="1"/>
      <protection hidden="1"/>
    </xf>
    <xf numFmtId="44" fontId="59" fillId="0" borderId="10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10" xfId="0" applyNumberFormat="1" applyFont="1" applyBorder="1" applyAlignment="1" applyProtection="1">
      <alignment horizontal="center" vertical="center" wrapText="1" readingOrder="1"/>
      <protection hidden="1"/>
    </xf>
    <xf numFmtId="44" fontId="57" fillId="0" borderId="10" xfId="0" applyNumberFormat="1" applyFont="1" applyBorder="1" applyAlignment="1" applyProtection="1">
      <alignment horizontal="left" vertical="center" wrapText="1" readingOrder="1"/>
      <protection hidden="1"/>
    </xf>
    <xf numFmtId="44" fontId="57" fillId="0" borderId="10" xfId="0" applyNumberFormat="1" applyFont="1" applyBorder="1" applyAlignment="1" applyProtection="1">
      <alignment horizontal="center" vertical="center" wrapText="1" readingOrder="1"/>
      <protection hidden="1"/>
    </xf>
    <xf numFmtId="44" fontId="59" fillId="0" borderId="10" xfId="0" applyNumberFormat="1" applyFont="1" applyBorder="1" applyAlignment="1" applyProtection="1">
      <alignment vertical="center" wrapText="1" readingOrder="1"/>
      <protection hidden="1"/>
    </xf>
    <xf numFmtId="44" fontId="57" fillId="0" borderId="29" xfId="0" applyNumberFormat="1" applyFont="1" applyBorder="1" applyAlignment="1" applyProtection="1">
      <alignment horizontal="center" vertical="center" wrapText="1" readingOrder="1"/>
      <protection hidden="1"/>
    </xf>
    <xf numFmtId="44" fontId="57" fillId="0" borderId="30" xfId="0" applyNumberFormat="1" applyFont="1" applyBorder="1" applyAlignment="1" applyProtection="1">
      <alignment horizontal="center" vertical="center" wrapText="1" readingOrder="1"/>
      <protection hidden="1"/>
    </xf>
    <xf numFmtId="44" fontId="59" fillId="0" borderId="20" xfId="0" applyNumberFormat="1" applyFont="1" applyBorder="1" applyAlignment="1" applyProtection="1">
      <alignment vertical="center" wrapText="1" readingOrder="1"/>
      <protection hidden="1"/>
    </xf>
    <xf numFmtId="168" fontId="59" fillId="0" borderId="14" xfId="0" applyNumberFormat="1" applyFont="1" applyBorder="1" applyAlignment="1" applyProtection="1">
      <alignment horizontal="center" vertical="center" wrapText="1" readingOrder="1"/>
      <protection hidden="1"/>
    </xf>
    <xf numFmtId="44" fontId="57" fillId="0" borderId="14" xfId="0" applyNumberFormat="1" applyFont="1" applyBorder="1" applyAlignment="1" applyProtection="1">
      <alignment horizontal="center" vertical="center" wrapText="1" readingOrder="1"/>
      <protection hidden="1"/>
    </xf>
    <xf numFmtId="44" fontId="59" fillId="0" borderId="14" xfId="0" applyNumberFormat="1" applyFont="1" applyBorder="1" applyAlignment="1" applyProtection="1">
      <alignment vertical="center" wrapText="1" readingOrder="1"/>
      <protection hidden="1"/>
    </xf>
    <xf numFmtId="2" fontId="57" fillId="0" borderId="22" xfId="0" applyNumberFormat="1" applyFont="1" applyBorder="1" applyAlignment="1" applyProtection="1">
      <alignment horizontal="center" vertical="center" wrapText="1" readingOrder="1"/>
      <protection hidden="1"/>
    </xf>
    <xf numFmtId="8" fontId="56" fillId="35" borderId="29" xfId="0" applyNumberFormat="1" applyFont="1" applyFill="1" applyBorder="1" applyAlignment="1" applyProtection="1">
      <alignment horizontal="center" vertical="center" wrapText="1"/>
      <protection hidden="1"/>
    </xf>
    <xf numFmtId="8" fontId="56" fillId="35" borderId="30" xfId="0" applyNumberFormat="1" applyFont="1" applyFill="1" applyBorder="1" applyAlignment="1" applyProtection="1">
      <alignment horizontal="center" vertical="center" wrapText="1"/>
      <protection hidden="1"/>
    </xf>
    <xf numFmtId="44" fontId="57" fillId="0" borderId="19" xfId="0" applyNumberFormat="1" applyFont="1" applyBorder="1" applyAlignment="1" applyProtection="1">
      <alignment horizontal="center" wrapText="1" readingOrder="1"/>
      <protection hidden="1"/>
    </xf>
    <xf numFmtId="44" fontId="57" fillId="0" borderId="20" xfId="0" applyNumberFormat="1" applyFont="1" applyBorder="1" applyAlignment="1" applyProtection="1">
      <alignment horizontal="center" wrapText="1" readingOrder="1"/>
      <protection hidden="1"/>
    </xf>
    <xf numFmtId="44" fontId="57" fillId="0" borderId="10" xfId="0" applyNumberFormat="1" applyFont="1" applyBorder="1" applyAlignment="1" applyProtection="1">
      <alignment horizontal="center" wrapText="1" readingOrder="1"/>
      <protection hidden="1"/>
    </xf>
    <xf numFmtId="44" fontId="57" fillId="0" borderId="14" xfId="0" applyNumberFormat="1" applyFont="1" applyBorder="1" applyAlignment="1" applyProtection="1">
      <alignment horizontal="center" wrapText="1" readingOrder="1"/>
      <protection hidden="1"/>
    </xf>
    <xf numFmtId="169" fontId="57" fillId="0" borderId="10" xfId="0" applyNumberFormat="1" applyFont="1" applyBorder="1" applyAlignment="1" applyProtection="1">
      <alignment horizontal="center" wrapText="1" readingOrder="1"/>
      <protection hidden="1"/>
    </xf>
    <xf numFmtId="8" fontId="57" fillId="0" borderId="10" xfId="0" applyNumberFormat="1" applyFont="1" applyBorder="1" applyAlignment="1" applyProtection="1">
      <alignment horizontal="center" wrapText="1" readingOrder="1"/>
      <protection hidden="1"/>
    </xf>
    <xf numFmtId="8" fontId="57" fillId="0" borderId="14" xfId="0" applyNumberFormat="1" applyFont="1" applyBorder="1" applyAlignment="1" applyProtection="1">
      <alignment horizontal="center" wrapText="1" readingOrder="1"/>
      <protection hidden="1"/>
    </xf>
    <xf numFmtId="8" fontId="57" fillId="0" borderId="10" xfId="0" applyNumberFormat="1" applyFont="1" applyBorder="1" applyAlignment="1" applyProtection="1">
      <alignment horizontal="center" vertical="center" wrapText="1" readingOrder="1"/>
      <protection hidden="1"/>
    </xf>
    <xf numFmtId="8" fontId="57" fillId="0" borderId="14" xfId="0" applyNumberFormat="1" applyFont="1" applyBorder="1" applyAlignment="1" applyProtection="1">
      <alignment horizontal="center" vertical="center" wrapText="1" readingOrder="1"/>
      <protection hidden="1"/>
    </xf>
    <xf numFmtId="8" fontId="56" fillId="35" borderId="31" xfId="0" applyNumberFormat="1" applyFont="1" applyFill="1" applyBorder="1" applyAlignment="1" applyProtection="1">
      <alignment horizontal="center" vertical="center" wrapText="1"/>
      <protection hidden="1"/>
    </xf>
    <xf numFmtId="8" fontId="56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41" fillId="0" borderId="31" xfId="42" applyBorder="1" applyAlignment="1">
      <alignment wrapText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/>
      <protection hidden="1"/>
    </xf>
    <xf numFmtId="4" fontId="4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" fontId="4" fillId="0" borderId="26" xfId="0" applyNumberFormat="1" applyFont="1" applyFill="1" applyBorder="1" applyAlignment="1" applyProtection="1">
      <alignment/>
      <protection hidden="1"/>
    </xf>
    <xf numFmtId="4" fontId="0" fillId="34" borderId="10" xfId="0" applyNumberFormat="1" applyFont="1" applyFill="1" applyBorder="1" applyAlignment="1" applyProtection="1">
      <alignment horizontal="right" vertical="center" wrapText="1"/>
      <protection hidden="1"/>
    </xf>
    <xf numFmtId="10" fontId="0" fillId="0" borderId="10" xfId="0" applyNumberFormat="1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10" fontId="4" fillId="0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3" fillId="33" borderId="34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4" fontId="0" fillId="0" borderId="14" xfId="0" applyNumberFormat="1" applyFont="1" applyFill="1" applyBorder="1" applyAlignment="1" applyProtection="1">
      <alignment/>
      <protection hidden="1"/>
    </xf>
    <xf numFmtId="4" fontId="0" fillId="0" borderId="14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top" wrapText="1"/>
      <protection hidden="1"/>
    </xf>
    <xf numFmtId="4" fontId="4" fillId="0" borderId="32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center" vertical="center" wrapText="1"/>
      <protection hidden="1"/>
    </xf>
    <xf numFmtId="0" fontId="7" fillId="36" borderId="10" xfId="0" applyFont="1" applyFill="1" applyBorder="1" applyAlignment="1" applyProtection="1">
      <alignment vertical="center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57" fillId="0" borderId="35" xfId="0" applyFont="1" applyBorder="1" applyAlignment="1" applyProtection="1">
      <alignment horizontal="left" vertical="center" wrapText="1" readingOrder="1"/>
      <protection hidden="1"/>
    </xf>
    <xf numFmtId="168" fontId="57" fillId="0" borderId="36" xfId="0" applyNumberFormat="1" applyFont="1" applyBorder="1" applyAlignment="1" applyProtection="1">
      <alignment horizontal="center" vertical="center" wrapText="1" readingOrder="1"/>
      <protection hidden="1"/>
    </xf>
    <xf numFmtId="168" fontId="57" fillId="0" borderId="37" xfId="0" applyNumberFormat="1" applyFont="1" applyBorder="1" applyAlignment="1" applyProtection="1">
      <alignment horizontal="center" vertical="center" wrapText="1" readingOrder="1"/>
      <protection hidden="1"/>
    </xf>
    <xf numFmtId="168" fontId="57" fillId="0" borderId="37" xfId="0" applyNumberFormat="1" applyFont="1" applyBorder="1" applyAlignment="1" applyProtection="1">
      <alignment horizontal="center" wrapText="1" readingOrder="1"/>
      <protection hidden="1"/>
    </xf>
    <xf numFmtId="168" fontId="57" fillId="0" borderId="38" xfId="0" applyNumberFormat="1" applyFont="1" applyBorder="1" applyAlignment="1" applyProtection="1">
      <alignment horizontal="center" vertical="center" wrapText="1" readingOrder="1"/>
      <protection hidden="1"/>
    </xf>
    <xf numFmtId="0" fontId="56" fillId="34" borderId="39" xfId="0" applyFont="1" applyFill="1" applyBorder="1" applyAlignment="1" applyProtection="1">
      <alignment horizontal="center" vertical="center" wrapText="1"/>
      <protection hidden="1"/>
    </xf>
    <xf numFmtId="0" fontId="57" fillId="0" borderId="40" xfId="0" applyFont="1" applyBorder="1" applyAlignment="1" applyProtection="1">
      <alignment horizontal="left" vertical="center" wrapText="1" readingOrder="1"/>
      <protection hidden="1"/>
    </xf>
    <xf numFmtId="0" fontId="57" fillId="0" borderId="16" xfId="0" applyFont="1" applyBorder="1" applyAlignment="1" applyProtection="1">
      <alignment horizontal="left" vertical="center" wrapText="1" readingOrder="1"/>
      <protection hidden="1"/>
    </xf>
    <xf numFmtId="169" fontId="59" fillId="0" borderId="10" xfId="0" applyNumberFormat="1" applyFont="1" applyBorder="1" applyAlignment="1" applyProtection="1">
      <alignment vertical="center" wrapText="1" readingOrder="1"/>
      <protection hidden="1"/>
    </xf>
    <xf numFmtId="168" fontId="57" fillId="0" borderId="0" xfId="0" applyNumberFormat="1" applyFont="1" applyBorder="1" applyAlignment="1" applyProtection="1">
      <alignment horizontal="center" wrapText="1" readingOrder="1"/>
      <protection hidden="1"/>
    </xf>
    <xf numFmtId="4" fontId="57" fillId="0" borderId="22" xfId="0" applyNumberFormat="1" applyFont="1" applyBorder="1" applyAlignment="1" applyProtection="1">
      <alignment horizontal="center" vertical="center" wrapText="1" readingOrder="1"/>
      <protection hidden="1"/>
    </xf>
    <xf numFmtId="4" fontId="57" fillId="0" borderId="23" xfId="0" applyNumberFormat="1" applyFont="1" applyBorder="1" applyAlignment="1" applyProtection="1">
      <alignment horizontal="center" vertical="center" wrapText="1" readingOrder="1"/>
      <protection hidden="1"/>
    </xf>
    <xf numFmtId="168" fontId="57" fillId="0" borderId="41" xfId="0" applyNumberFormat="1" applyFont="1" applyBorder="1" applyAlignment="1" applyProtection="1">
      <alignment horizontal="center" vertical="center" wrapText="1" readingOrder="1"/>
      <protection hidden="1"/>
    </xf>
    <xf numFmtId="168" fontId="57" fillId="0" borderId="42" xfId="0" applyNumberFormat="1" applyFont="1" applyBorder="1" applyAlignment="1" applyProtection="1">
      <alignment horizontal="center" vertical="center" wrapText="1" readingOrder="1"/>
      <protection hidden="1"/>
    </xf>
    <xf numFmtId="168" fontId="57" fillId="0" borderId="43" xfId="0" applyNumberFormat="1" applyFont="1" applyBorder="1" applyAlignment="1" applyProtection="1">
      <alignment horizontal="center" vertical="center" wrapText="1" readingOrder="1"/>
      <protection hidden="1"/>
    </xf>
    <xf numFmtId="168" fontId="57" fillId="0" borderId="44" xfId="0" applyNumberFormat="1" applyFont="1" applyBorder="1" applyAlignment="1" applyProtection="1">
      <alignment horizontal="center" vertical="center" wrapText="1" readingOrder="1"/>
      <protection hidden="1"/>
    </xf>
    <xf numFmtId="0" fontId="56" fillId="34" borderId="45" xfId="0" applyFont="1" applyFill="1" applyBorder="1" applyAlignment="1" applyProtection="1">
      <alignment horizontal="center" vertical="center" wrapText="1"/>
      <protection hidden="1"/>
    </xf>
    <xf numFmtId="10" fontId="56" fillId="33" borderId="10" xfId="0" applyNumberFormat="1" applyFont="1" applyFill="1" applyBorder="1" applyAlignment="1" applyProtection="1">
      <alignment wrapText="1"/>
      <protection locked="0"/>
    </xf>
    <xf numFmtId="168" fontId="59" fillId="0" borderId="36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15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41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43" xfId="0" applyNumberFormat="1" applyFont="1" applyBorder="1" applyAlignment="1" applyProtection="1">
      <alignment horizontal="center" vertical="center" wrapText="1" readingOrder="1"/>
      <protection hidden="1"/>
    </xf>
    <xf numFmtId="169" fontId="56" fillId="34" borderId="17" xfId="0" applyNumberFormat="1" applyFont="1" applyFill="1" applyBorder="1" applyAlignment="1" applyProtection="1">
      <alignment horizontal="center" vertical="center" wrapText="1"/>
      <protection hidden="1"/>
    </xf>
    <xf numFmtId="4" fontId="57" fillId="0" borderId="46" xfId="0" applyNumberFormat="1" applyFont="1" applyBorder="1" applyAlignment="1" applyProtection="1">
      <alignment horizontal="center" vertical="center" wrapText="1" readingOrder="1"/>
      <protection hidden="1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3" fillId="36" borderId="4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56" fillId="34" borderId="17" xfId="0" applyFont="1" applyFill="1" applyBorder="1" applyAlignment="1" applyProtection="1">
      <alignment vertical="center" wrapText="1"/>
      <protection hidden="1"/>
    </xf>
    <xf numFmtId="0" fontId="0" fillId="0" borderId="48" xfId="0" applyFont="1" applyBorder="1" applyAlignment="1" applyProtection="1">
      <alignment vertical="center"/>
      <protection hidden="1"/>
    </xf>
    <xf numFmtId="0" fontId="57" fillId="0" borderId="49" xfId="0" applyFont="1" applyBorder="1" applyAlignment="1" applyProtection="1">
      <alignment horizontal="left" vertical="center" wrapText="1" readingOrder="1"/>
      <protection hidden="1"/>
    </xf>
    <xf numFmtId="0" fontId="56" fillId="34" borderId="16" xfId="0" applyFont="1" applyFill="1" applyBorder="1" applyAlignment="1" applyProtection="1">
      <alignment horizontal="center" vertical="center" wrapText="1"/>
      <protection hidden="1"/>
    </xf>
    <xf numFmtId="44" fontId="57" fillId="0" borderId="43" xfId="0" applyNumberFormat="1" applyFont="1" applyBorder="1" applyAlignment="1" applyProtection="1">
      <alignment horizontal="left" vertical="center" wrapText="1" readingOrder="1"/>
      <protection hidden="1"/>
    </xf>
    <xf numFmtId="0" fontId="57" fillId="0" borderId="15" xfId="0" applyFont="1" applyBorder="1" applyAlignment="1" applyProtection="1">
      <alignment horizontal="left" vertical="center" wrapText="1" readingOrder="1"/>
      <protection hidden="1"/>
    </xf>
    <xf numFmtId="44" fontId="57" fillId="0" borderId="11" xfId="0" applyNumberFormat="1" applyFont="1" applyBorder="1" applyAlignment="1" applyProtection="1">
      <alignment horizontal="left" vertical="center" wrapText="1" readingOrder="1"/>
      <protection hidden="1"/>
    </xf>
    <xf numFmtId="0" fontId="57" fillId="0" borderId="11" xfId="0" applyFont="1" applyBorder="1" applyAlignment="1" applyProtection="1">
      <alignment horizontal="left" vertical="center" wrapText="1" readingOrder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44" fontId="59" fillId="0" borderId="11" xfId="0" applyNumberFormat="1" applyFont="1" applyBorder="1" applyAlignment="1" applyProtection="1">
      <alignment horizontal="left" vertical="center" wrapText="1" readingOrder="1"/>
      <protection hidden="1"/>
    </xf>
    <xf numFmtId="0" fontId="59" fillId="0" borderId="11" xfId="0" applyFont="1" applyBorder="1" applyAlignment="1" applyProtection="1">
      <alignment horizontal="left" vertical="center" wrapText="1" readingOrder="1"/>
      <protection hidden="1"/>
    </xf>
    <xf numFmtId="9" fontId="57" fillId="0" borderId="11" xfId="0" applyNumberFormat="1" applyFont="1" applyBorder="1" applyAlignment="1" applyProtection="1">
      <alignment horizontal="center" vertical="center" wrapText="1" readingOrder="1"/>
      <protection hidden="1"/>
    </xf>
    <xf numFmtId="0" fontId="57" fillId="0" borderId="12" xfId="0" applyFont="1" applyBorder="1" applyAlignment="1" applyProtection="1">
      <alignment horizontal="left" vertical="center" wrapText="1" readingOrder="1"/>
      <protection hidden="1"/>
    </xf>
    <xf numFmtId="44" fontId="57" fillId="0" borderId="42" xfId="0" applyNumberFormat="1" applyFont="1" applyBorder="1" applyAlignment="1" applyProtection="1">
      <alignment horizontal="left" vertical="center" wrapText="1" readingOrder="1"/>
      <protection hidden="1"/>
    </xf>
    <xf numFmtId="0" fontId="57" fillId="0" borderId="50" xfId="0" applyFont="1" applyBorder="1" applyAlignment="1" applyProtection="1">
      <alignment horizontal="left" vertical="center" wrapText="1" readingOrder="1"/>
      <protection hidden="1"/>
    </xf>
    <xf numFmtId="44" fontId="57" fillId="0" borderId="12" xfId="0" applyNumberFormat="1" applyFont="1" applyBorder="1" applyAlignment="1" applyProtection="1">
      <alignment horizontal="left" vertical="center" wrapText="1" readingOrder="1"/>
      <protection hidden="1"/>
    </xf>
    <xf numFmtId="0" fontId="55" fillId="34" borderId="15" xfId="0" applyFont="1" applyFill="1" applyBorder="1" applyAlignment="1" applyProtection="1">
      <alignment vertical="center" wrapText="1"/>
      <protection hidden="1"/>
    </xf>
    <xf numFmtId="169" fontId="56" fillId="13" borderId="16" xfId="0" applyNumberFormat="1" applyFont="1" applyFill="1" applyBorder="1" applyAlignment="1" applyProtection="1">
      <alignment horizontal="left" vertical="center" wrapText="1"/>
      <protection hidden="1"/>
    </xf>
    <xf numFmtId="169" fontId="56" fillId="13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9" fontId="56" fillId="33" borderId="16" xfId="0" applyNumberFormat="1" applyFont="1" applyFill="1" applyBorder="1" applyAlignment="1" applyProtection="1">
      <alignment horizontal="center" vertical="center" wrapText="1"/>
      <protection locked="0"/>
    </xf>
    <xf numFmtId="169" fontId="56" fillId="33" borderId="17" xfId="0" applyNumberFormat="1" applyFont="1" applyFill="1" applyBorder="1" applyAlignment="1" applyProtection="1">
      <alignment horizontal="center" vertical="center" wrapText="1"/>
      <protection locked="0"/>
    </xf>
    <xf numFmtId="169" fontId="56" fillId="33" borderId="16" xfId="0" applyNumberFormat="1" applyFont="1" applyFill="1" applyBorder="1" applyAlignment="1" applyProtection="1">
      <alignment horizontal="center" vertical="center" wrapText="1"/>
      <protection locked="0"/>
    </xf>
    <xf numFmtId="44" fontId="55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52" xfId="0" applyFont="1" applyFill="1" applyBorder="1" applyAlignment="1" applyProtection="1">
      <alignment horizontal="center" vertical="center" wrapText="1"/>
      <protection locked="0"/>
    </xf>
    <xf numFmtId="44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44" fontId="55" fillId="33" borderId="38" xfId="0" applyNumberFormat="1" applyFont="1" applyFill="1" applyBorder="1" applyAlignment="1" applyProtection="1">
      <alignment horizontal="center" vertical="center" wrapText="1"/>
      <protection locked="0"/>
    </xf>
    <xf numFmtId="44" fontId="55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56" fillId="34" borderId="53" xfId="0" applyNumberFormat="1" applyFont="1" applyFill="1" applyBorder="1" applyAlignment="1" applyProtection="1">
      <alignment horizontal="center" vertical="center" wrapText="1"/>
      <protection hidden="1"/>
    </xf>
    <xf numFmtId="44" fontId="55" fillId="33" borderId="16" xfId="0" applyNumberFormat="1" applyFont="1" applyFill="1" applyBorder="1" applyAlignment="1" applyProtection="1">
      <alignment vertical="top" wrapText="1"/>
      <protection locked="0"/>
    </xf>
    <xf numFmtId="0" fontId="56" fillId="34" borderId="31" xfId="0" applyFont="1" applyFill="1" applyBorder="1" applyAlignment="1" applyProtection="1">
      <alignment horizontal="center" vertical="center" wrapText="1"/>
      <protection hidden="1"/>
    </xf>
    <xf numFmtId="0" fontId="56" fillId="34" borderId="32" xfId="0" applyFont="1" applyFill="1" applyBorder="1" applyAlignment="1" applyProtection="1">
      <alignment horizontal="center" vertical="center" wrapText="1"/>
      <protection hidden="1"/>
    </xf>
    <xf numFmtId="0" fontId="55" fillId="0" borderId="54" xfId="0" applyFont="1" applyBorder="1" applyAlignment="1" applyProtection="1">
      <alignment horizontal="left" vertical="center" wrapText="1" readingOrder="1"/>
      <protection hidden="1"/>
    </xf>
    <xf numFmtId="0" fontId="57" fillId="0" borderId="46" xfId="0" applyFont="1" applyBorder="1" applyAlignment="1" applyProtection="1">
      <alignment horizontal="left" vertical="center" wrapText="1" readingOrder="1"/>
      <protection hidden="1"/>
    </xf>
    <xf numFmtId="44" fontId="57" fillId="0" borderId="46" xfId="0" applyNumberFormat="1" applyFont="1" applyBorder="1" applyAlignment="1" applyProtection="1">
      <alignment horizontal="left" vertical="center" wrapText="1" readingOrder="1"/>
      <protection hidden="1"/>
    </xf>
    <xf numFmtId="0" fontId="57" fillId="0" borderId="55" xfId="0" applyFont="1" applyBorder="1" applyAlignment="1" applyProtection="1">
      <alignment horizontal="left" vertical="center" wrapText="1" readingOrder="1"/>
      <protection hidden="1"/>
    </xf>
    <xf numFmtId="0" fontId="57" fillId="0" borderId="29" xfId="0" applyFont="1" applyBorder="1" applyAlignment="1" applyProtection="1">
      <alignment horizontal="left" vertical="center" wrapText="1" readingOrder="1"/>
      <protection hidden="1"/>
    </xf>
    <xf numFmtId="44" fontId="57" fillId="0" borderId="29" xfId="0" applyNumberFormat="1" applyFont="1" applyBorder="1" applyAlignment="1" applyProtection="1">
      <alignment horizontal="left" vertical="center" wrapText="1" readingOrder="1"/>
      <protection hidden="1"/>
    </xf>
    <xf numFmtId="0" fontId="59" fillId="0" borderId="18" xfId="0" applyFont="1" applyBorder="1" applyAlignment="1" applyProtection="1">
      <alignment vertical="center" wrapText="1" readingOrder="1"/>
      <protection hidden="1"/>
    </xf>
    <xf numFmtId="0" fontId="59" fillId="0" borderId="19" xfId="0" applyFont="1" applyBorder="1" applyAlignment="1" applyProtection="1">
      <alignment vertical="center" wrapText="1" readingOrder="1"/>
      <protection hidden="1"/>
    </xf>
    <xf numFmtId="0" fontId="59" fillId="0" borderId="19" xfId="0" applyFont="1" applyBorder="1" applyAlignment="1" applyProtection="1">
      <alignment horizontal="center" vertical="center" wrapText="1" readingOrder="1"/>
      <protection hidden="1"/>
    </xf>
    <xf numFmtId="174" fontId="59" fillId="0" borderId="19" xfId="0" applyNumberFormat="1" applyFont="1" applyBorder="1" applyAlignment="1" applyProtection="1">
      <alignment horizontal="center" vertical="center" wrapText="1" readingOrder="1"/>
      <protection hidden="1"/>
    </xf>
    <xf numFmtId="173" fontId="5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13" xfId="0" applyFont="1" applyBorder="1" applyAlignment="1" applyProtection="1">
      <alignment horizontal="left" vertical="center" wrapText="1" readingOrder="1"/>
      <protection hidden="1"/>
    </xf>
    <xf numFmtId="0" fontId="57" fillId="0" borderId="10" xfId="0" applyFont="1" applyBorder="1" applyAlignment="1" applyProtection="1">
      <alignment horizontal="left" vertical="center" wrapText="1" readingOrder="1"/>
      <protection hidden="1"/>
    </xf>
    <xf numFmtId="169" fontId="57" fillId="34" borderId="10" xfId="0" applyNumberFormat="1" applyFont="1" applyFill="1" applyBorder="1" applyAlignment="1" applyProtection="1">
      <alignment horizontal="left" vertical="center" wrapText="1" readingOrder="1"/>
      <protection hidden="1"/>
    </xf>
    <xf numFmtId="0" fontId="59" fillId="0" borderId="13" xfId="0" applyFont="1" applyBorder="1" applyAlignment="1" applyProtection="1">
      <alignment vertical="center" wrapText="1" readingOrder="1"/>
      <protection hidden="1"/>
    </xf>
    <xf numFmtId="0" fontId="55" fillId="34" borderId="10" xfId="0" applyFont="1" applyFill="1" applyBorder="1" applyAlignment="1" applyProtection="1">
      <alignment horizontal="center" vertical="center" wrapText="1"/>
      <protection hidden="1"/>
    </xf>
    <xf numFmtId="169" fontId="5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vertical="center" wrapText="1" readingOrder="1"/>
      <protection hidden="1"/>
    </xf>
    <xf numFmtId="0" fontId="59" fillId="0" borderId="22" xfId="0" applyFont="1" applyBorder="1" applyAlignment="1" applyProtection="1">
      <alignment vertical="center" wrapText="1" readingOrder="1"/>
      <protection hidden="1"/>
    </xf>
    <xf numFmtId="44" fontId="59" fillId="0" borderId="22" xfId="0" applyNumberFormat="1" applyFont="1" applyBorder="1" applyAlignment="1" applyProtection="1">
      <alignment vertical="center" wrapText="1" readingOrder="1"/>
      <protection hidden="1"/>
    </xf>
    <xf numFmtId="0" fontId="59" fillId="0" borderId="10" xfId="0" applyFont="1" applyBorder="1" applyAlignment="1" applyProtection="1">
      <alignment horizontal="center" vertical="center" wrapText="1" readingOrder="1"/>
      <protection hidden="1"/>
    </xf>
    <xf numFmtId="0" fontId="59" fillId="0" borderId="10" xfId="0" applyFont="1" applyBorder="1" applyAlignment="1" applyProtection="1">
      <alignment horizontal="left" vertical="center" wrapText="1" readingOrder="1"/>
      <protection hidden="1"/>
    </xf>
    <xf numFmtId="44" fontId="59" fillId="0" borderId="10" xfId="0" applyNumberFormat="1" applyFont="1" applyBorder="1" applyAlignment="1" applyProtection="1">
      <alignment horizontal="left" vertical="center" wrapText="1" readingOrder="1"/>
      <protection hidden="1"/>
    </xf>
    <xf numFmtId="0" fontId="57" fillId="0" borderId="21" xfId="0" applyFont="1" applyBorder="1" applyAlignment="1" applyProtection="1">
      <alignment horizontal="left" vertical="center" wrapText="1" readingOrder="1"/>
      <protection hidden="1"/>
    </xf>
    <xf numFmtId="0" fontId="57" fillId="0" borderId="22" xfId="0" applyFont="1" applyBorder="1" applyAlignment="1" applyProtection="1">
      <alignment horizontal="left" vertical="center" wrapText="1" readingOrder="1"/>
      <protection hidden="1"/>
    </xf>
    <xf numFmtId="9" fontId="56" fillId="34" borderId="10" xfId="0" applyNumberFormat="1" applyFont="1" applyFill="1" applyBorder="1" applyAlignment="1" applyProtection="1">
      <alignment vertical="center" wrapText="1"/>
      <protection hidden="1"/>
    </xf>
    <xf numFmtId="0" fontId="56" fillId="35" borderId="55" xfId="0" applyFont="1" applyFill="1" applyBorder="1" applyAlignment="1" applyProtection="1">
      <alignment horizontal="center" vertical="center" wrapText="1"/>
      <protection hidden="1"/>
    </xf>
    <xf numFmtId="0" fontId="55" fillId="35" borderId="29" xfId="0" applyFont="1" applyFill="1" applyBorder="1" applyAlignment="1" applyProtection="1">
      <alignment horizontal="center" vertical="center" wrapText="1"/>
      <protection hidden="1"/>
    </xf>
    <xf numFmtId="0" fontId="57" fillId="0" borderId="18" xfId="0" applyFont="1" applyBorder="1" applyAlignment="1" applyProtection="1">
      <alignment horizontal="left" vertical="center" wrapText="1" readingOrder="1"/>
      <protection hidden="1"/>
    </xf>
    <xf numFmtId="0" fontId="57" fillId="0" borderId="19" xfId="0" applyFont="1" applyBorder="1" applyAlignment="1" applyProtection="1">
      <alignment horizontal="left" vertical="center" wrapText="1" readingOrder="1"/>
      <protection hidden="1"/>
    </xf>
    <xf numFmtId="0" fontId="56" fillId="35" borderId="33" xfId="0" applyFont="1" applyFill="1" applyBorder="1" applyAlignment="1" applyProtection="1">
      <alignment horizontal="center" vertical="center" wrapText="1"/>
      <protection hidden="1"/>
    </xf>
    <xf numFmtId="0" fontId="55" fillId="35" borderId="31" xfId="0" applyFont="1" applyFill="1" applyBorder="1" applyAlignment="1" applyProtection="1">
      <alignment horizontal="center" vertical="center" wrapText="1"/>
      <protection hidden="1"/>
    </xf>
    <xf numFmtId="0" fontId="55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169" fontId="60" fillId="33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10" fontId="0" fillId="0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ont="1" applyFill="1" applyBorder="1" applyAlignment="1" applyProtection="1">
      <alignment/>
      <protection hidden="1"/>
    </xf>
    <xf numFmtId="44" fontId="0" fillId="0" borderId="10" xfId="0" applyNumberFormat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/>
      <protection hidden="1"/>
    </xf>
    <xf numFmtId="44" fontId="4" fillId="0" borderId="10" xfId="0" applyNumberFormat="1" applyFont="1" applyBorder="1" applyAlignment="1" applyProtection="1">
      <alignment/>
      <protection hidden="1"/>
    </xf>
    <xf numFmtId="0" fontId="41" fillId="0" borderId="0" xfId="42" applyAlignment="1" applyProtection="1">
      <alignment vertical="center" wrapText="1"/>
      <protection hidden="1"/>
    </xf>
    <xf numFmtId="9" fontId="0" fillId="33" borderId="10" xfId="0" applyNumberFormat="1" applyFont="1" applyFill="1" applyBorder="1" applyAlignment="1" applyProtection="1">
      <alignment horizontal="right" vertical="center"/>
      <protection locked="0"/>
    </xf>
    <xf numFmtId="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61" fillId="0" borderId="0" xfId="0" applyFont="1" applyAlignment="1" applyProtection="1">
      <alignment vertical="center" wrapText="1"/>
      <protection locked="0"/>
    </xf>
    <xf numFmtId="10" fontId="4" fillId="0" borderId="1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44" fontId="0" fillId="0" borderId="10" xfId="0" applyNumberFormat="1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/>
      <protection hidden="1"/>
    </xf>
    <xf numFmtId="0" fontId="3" fillId="36" borderId="56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vertical="center" wrapText="1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4" fillId="0" borderId="32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4" fillId="0" borderId="32" xfId="0" applyFont="1" applyFill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0" fontId="10" fillId="36" borderId="47" xfId="0" applyFont="1" applyFill="1" applyBorder="1" applyAlignment="1" applyProtection="1">
      <alignment horizontal="center" vertical="center" wrapText="1"/>
      <protection hidden="1"/>
    </xf>
    <xf numFmtId="0" fontId="10" fillId="36" borderId="34" xfId="0" applyFont="1" applyFill="1" applyBorder="1" applyAlignment="1" applyProtection="1">
      <alignment horizontal="center" vertical="center" wrapText="1"/>
      <protection hidden="1"/>
    </xf>
    <xf numFmtId="176" fontId="0" fillId="0" borderId="13" xfId="0" applyNumberFormat="1" applyBorder="1" applyAlignment="1" applyProtection="1">
      <alignment/>
      <protection hidden="1"/>
    </xf>
    <xf numFmtId="176" fontId="4" fillId="0" borderId="10" xfId="0" applyNumberFormat="1" applyFont="1" applyBorder="1" applyAlignment="1" applyProtection="1">
      <alignment/>
      <protection hidden="1"/>
    </xf>
    <xf numFmtId="176" fontId="0" fillId="0" borderId="27" xfId="0" applyNumberFormat="1" applyBorder="1" applyAlignment="1" applyProtection="1">
      <alignment/>
      <protection hidden="1"/>
    </xf>
    <xf numFmtId="176" fontId="0" fillId="0" borderId="14" xfId="0" applyNumberForma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176" fontId="0" fillId="0" borderId="19" xfId="0" applyNumberFormat="1" applyBorder="1" applyAlignment="1" applyProtection="1">
      <alignment/>
      <protection hidden="1"/>
    </xf>
    <xf numFmtId="176" fontId="4" fillId="0" borderId="0" xfId="0" applyNumberFormat="1" applyFont="1" applyAlignment="1" applyProtection="1">
      <alignment/>
      <protection hidden="1"/>
    </xf>
    <xf numFmtId="3" fontId="0" fillId="0" borderId="33" xfId="0" applyNumberFormat="1" applyBorder="1" applyAlignment="1" applyProtection="1">
      <alignment/>
      <protection hidden="1"/>
    </xf>
    <xf numFmtId="176" fontId="0" fillId="0" borderId="31" xfId="0" applyNumberFormat="1" applyBorder="1" applyAlignment="1" applyProtection="1">
      <alignment/>
      <protection hidden="1"/>
    </xf>
    <xf numFmtId="176" fontId="0" fillId="0" borderId="32" xfId="0" applyNumberFormat="1" applyBorder="1" applyAlignment="1" applyProtection="1">
      <alignment/>
      <protection hidden="1"/>
    </xf>
    <xf numFmtId="10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4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0" fontId="55" fillId="33" borderId="52" xfId="0" applyFont="1" applyFill="1" applyBorder="1" applyAlignment="1" applyProtection="1">
      <alignment horizontal="center" vertical="center" wrapText="1"/>
      <protection locked="0"/>
    </xf>
    <xf numFmtId="44" fontId="55" fillId="33" borderId="15" xfId="0" applyNumberFormat="1" applyFont="1" applyFill="1" applyBorder="1" applyAlignment="1" applyProtection="1">
      <alignment vertical="top" wrapText="1"/>
      <protection locked="0"/>
    </xf>
    <xf numFmtId="168" fontId="59" fillId="0" borderId="49" xfId="0" applyNumberFormat="1" applyFont="1" applyBorder="1" applyAlignment="1" applyProtection="1">
      <alignment horizontal="center" vertical="center" wrapText="1" readingOrder="1"/>
      <protection hidden="1"/>
    </xf>
    <xf numFmtId="44" fontId="5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2" xfId="0" applyFont="1" applyFill="1" applyBorder="1" applyAlignment="1" applyProtection="1">
      <alignment horizontal="center" vertical="center" wrapText="1"/>
      <protection locked="0"/>
    </xf>
    <xf numFmtId="44" fontId="55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55" fillId="34" borderId="12" xfId="0" applyFont="1" applyFill="1" applyBorder="1" applyAlignment="1" applyProtection="1">
      <alignment horizontal="center" vertical="center" wrapText="1"/>
      <protection hidden="1"/>
    </xf>
    <xf numFmtId="44" fontId="55" fillId="33" borderId="49" xfId="0" applyNumberFormat="1" applyFont="1" applyFill="1" applyBorder="1" applyAlignment="1" applyProtection="1">
      <alignment horizontal="center" vertical="center" wrapText="1"/>
      <protection locked="0"/>
    </xf>
    <xf numFmtId="44" fontId="55" fillId="33" borderId="58" xfId="0" applyNumberFormat="1" applyFont="1" applyFill="1" applyBorder="1" applyAlignment="1" applyProtection="1">
      <alignment horizontal="center" vertical="center" wrapText="1"/>
      <protection locked="0"/>
    </xf>
    <xf numFmtId="44" fontId="55" fillId="33" borderId="5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27" xfId="42" applyBorder="1" applyAlignment="1">
      <alignment horizontal="center" wrapText="1"/>
    </xf>
    <xf numFmtId="0" fontId="41" fillId="0" borderId="28" xfId="42" applyBorder="1" applyAlignment="1">
      <alignment horizontal="center" wrapText="1"/>
    </xf>
    <xf numFmtId="0" fontId="41" fillId="0" borderId="60" xfId="42" applyBorder="1" applyAlignment="1">
      <alignment horizontal="center" wrapText="1"/>
    </xf>
    <xf numFmtId="0" fontId="41" fillId="0" borderId="30" xfId="42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1" fillId="0" borderId="24" xfId="42" applyBorder="1" applyAlignment="1">
      <alignment horizontal="center" wrapText="1"/>
    </xf>
    <xf numFmtId="0" fontId="41" fillId="0" borderId="61" xfId="42" applyBorder="1" applyAlignment="1">
      <alignment horizontal="center" wrapText="1"/>
    </xf>
    <xf numFmtId="0" fontId="41" fillId="0" borderId="27" xfId="42" applyBorder="1" applyAlignment="1">
      <alignment horizontal="center" vertical="center" wrapText="1"/>
    </xf>
    <xf numFmtId="0" fontId="41" fillId="0" borderId="28" xfId="42" applyBorder="1" applyAlignment="1">
      <alignment horizontal="center" vertical="center" wrapText="1"/>
    </xf>
    <xf numFmtId="168" fontId="59" fillId="0" borderId="38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36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12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15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62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63" xfId="0" applyNumberFormat="1" applyFont="1" applyBorder="1" applyAlignment="1" applyProtection="1">
      <alignment horizontal="center" vertical="center" wrapText="1" readingOrder="1"/>
      <protection hidden="1"/>
    </xf>
    <xf numFmtId="44" fontId="55" fillId="33" borderId="12" xfId="0" applyNumberFormat="1" applyFont="1" applyFill="1" applyBorder="1" applyAlignment="1" applyProtection="1">
      <alignment vertical="top" wrapText="1"/>
      <protection locked="0"/>
    </xf>
    <xf numFmtId="44" fontId="55" fillId="33" borderId="15" xfId="0" applyNumberFormat="1" applyFont="1" applyFill="1" applyBorder="1" applyAlignment="1" applyProtection="1">
      <alignment vertical="top" wrapText="1"/>
      <protection locked="0"/>
    </xf>
    <xf numFmtId="44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44" fontId="5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0" fontId="55" fillId="33" borderId="15" xfId="0" applyFont="1" applyFill="1" applyBorder="1" applyAlignment="1" applyProtection="1">
      <alignment horizontal="center" vertical="center" wrapText="1"/>
      <protection locked="0"/>
    </xf>
    <xf numFmtId="168" fontId="59" fillId="0" borderId="64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65" xfId="0" applyNumberFormat="1" applyFont="1" applyBorder="1" applyAlignment="1" applyProtection="1">
      <alignment horizontal="center" vertical="center" wrapText="1" readingOrder="1"/>
      <protection hidden="1"/>
    </xf>
    <xf numFmtId="44" fontId="55" fillId="33" borderId="62" xfId="0" applyNumberFormat="1" applyFont="1" applyFill="1" applyBorder="1" applyAlignment="1" applyProtection="1">
      <alignment vertical="top" wrapText="1"/>
      <protection locked="0"/>
    </xf>
    <xf numFmtId="44" fontId="55" fillId="33" borderId="62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62" xfId="0" applyFont="1" applyFill="1" applyBorder="1" applyAlignment="1" applyProtection="1">
      <alignment horizontal="center" vertical="center" wrapText="1"/>
      <protection locked="0"/>
    </xf>
    <xf numFmtId="44" fontId="55" fillId="33" borderId="52" xfId="0" applyNumberFormat="1" applyFont="1" applyFill="1" applyBorder="1" applyAlignment="1" applyProtection="1">
      <alignment horizontal="center" vertical="center" wrapText="1"/>
      <protection locked="0"/>
    </xf>
    <xf numFmtId="168" fontId="59" fillId="0" borderId="52" xfId="0" applyNumberFormat="1" applyFont="1" applyBorder="1" applyAlignment="1" applyProtection="1">
      <alignment horizontal="center" vertical="center" wrapText="1" readingOrder="1"/>
      <protection hidden="1"/>
    </xf>
    <xf numFmtId="44" fontId="55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64" xfId="0" applyFont="1" applyFill="1" applyBorder="1" applyAlignment="1" applyProtection="1">
      <alignment horizontal="center" vertical="center" wrapText="1"/>
      <protection locked="0"/>
    </xf>
    <xf numFmtId="1" fontId="56" fillId="34" borderId="24" xfId="0" applyNumberFormat="1" applyFont="1" applyFill="1" applyBorder="1" applyAlignment="1" applyProtection="1">
      <alignment horizontal="center" vertical="center" wrapText="1"/>
      <protection hidden="1"/>
    </xf>
    <xf numFmtId="1" fontId="56" fillId="34" borderId="53" xfId="0" applyNumberFormat="1" applyFont="1" applyFill="1" applyBorder="1" applyAlignment="1" applyProtection="1">
      <alignment horizontal="center" vertical="center" wrapText="1"/>
      <protection hidden="1"/>
    </xf>
    <xf numFmtId="1" fontId="56" fillId="34" borderId="61" xfId="0" applyNumberFormat="1" applyFont="1" applyFill="1" applyBorder="1" applyAlignment="1" applyProtection="1">
      <alignment horizontal="center" vertical="center" wrapText="1"/>
      <protection hidden="1"/>
    </xf>
    <xf numFmtId="0" fontId="56" fillId="34" borderId="17" xfId="0" applyFont="1" applyFill="1" applyBorder="1" applyAlignment="1" applyProtection="1">
      <alignment horizontal="center" vertical="center" wrapText="1"/>
      <protection hidden="1"/>
    </xf>
    <xf numFmtId="0" fontId="56" fillId="34" borderId="66" xfId="0" applyFont="1" applyFill="1" applyBorder="1" applyAlignment="1" applyProtection="1">
      <alignment horizontal="center" vertical="center" wrapText="1"/>
      <protection hidden="1"/>
    </xf>
    <xf numFmtId="0" fontId="56" fillId="34" borderId="67" xfId="0" applyFont="1" applyFill="1" applyBorder="1" applyAlignment="1" applyProtection="1">
      <alignment horizontal="center" vertical="center" wrapText="1"/>
      <protection hidden="1"/>
    </xf>
    <xf numFmtId="0" fontId="56" fillId="34" borderId="53" xfId="0" applyFont="1" applyFill="1" applyBorder="1" applyAlignment="1" applyProtection="1">
      <alignment horizontal="center" vertical="center" wrapText="1"/>
      <protection hidden="1"/>
    </xf>
    <xf numFmtId="0" fontId="56" fillId="34" borderId="61" xfId="0" applyFont="1" applyFill="1" applyBorder="1" applyAlignment="1" applyProtection="1">
      <alignment horizontal="center" vertical="center" wrapText="1"/>
      <protection hidden="1"/>
    </xf>
    <xf numFmtId="169" fontId="56" fillId="34" borderId="24" xfId="0" applyNumberFormat="1" applyFont="1" applyFill="1" applyBorder="1" applyAlignment="1" applyProtection="1">
      <alignment horizontal="center" vertical="center" wrapText="1"/>
      <protection hidden="1"/>
    </xf>
    <xf numFmtId="169" fontId="56" fillId="34" borderId="53" xfId="0" applyNumberFormat="1" applyFont="1" applyFill="1" applyBorder="1" applyAlignment="1" applyProtection="1">
      <alignment horizontal="center" vertical="center" wrapText="1"/>
      <protection hidden="1"/>
    </xf>
    <xf numFmtId="169" fontId="56" fillId="34" borderId="61" xfId="0" applyNumberFormat="1" applyFont="1" applyFill="1" applyBorder="1" applyAlignment="1" applyProtection="1">
      <alignment horizontal="center" vertical="center" wrapText="1"/>
      <protection hidden="1"/>
    </xf>
    <xf numFmtId="169" fontId="56" fillId="34" borderId="45" xfId="0" applyNumberFormat="1" applyFont="1" applyFill="1" applyBorder="1" applyAlignment="1" applyProtection="1">
      <alignment horizontal="center" vertical="center" wrapText="1"/>
      <protection hidden="1"/>
    </xf>
    <xf numFmtId="169" fontId="56" fillId="34" borderId="6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168" fontId="59" fillId="0" borderId="69" xfId="0" applyNumberFormat="1" applyFont="1" applyBorder="1" applyAlignment="1" applyProtection="1">
      <alignment horizontal="center" vertical="center" wrapText="1" readingOrder="1"/>
      <protection hidden="1"/>
    </xf>
    <xf numFmtId="44" fontId="55" fillId="33" borderId="52" xfId="0" applyNumberFormat="1" applyFont="1" applyFill="1" applyBorder="1" applyAlignment="1" applyProtection="1">
      <alignment vertical="top" wrapText="1"/>
      <protection locked="0"/>
    </xf>
    <xf numFmtId="0" fontId="55" fillId="33" borderId="52" xfId="0" applyFont="1" applyFill="1" applyBorder="1" applyAlignment="1" applyProtection="1">
      <alignment horizontal="center" vertical="center" wrapText="1"/>
      <protection locked="0"/>
    </xf>
    <xf numFmtId="0" fontId="59" fillId="0" borderId="40" xfId="0" applyFont="1" applyBorder="1" applyAlignment="1" applyProtection="1">
      <alignment horizontal="left" vertical="center" wrapText="1" readingOrder="1"/>
      <protection hidden="1"/>
    </xf>
    <xf numFmtId="0" fontId="59" fillId="0" borderId="70" xfId="0" applyFont="1" applyBorder="1" applyAlignment="1" applyProtection="1">
      <alignment horizontal="left" vertical="center" wrapText="1" readingOrder="1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56" fillId="33" borderId="53" xfId="0" applyFont="1" applyFill="1" applyBorder="1" applyAlignment="1" applyProtection="1">
      <alignment horizontal="center" vertical="center" wrapText="1"/>
      <protection locked="0"/>
    </xf>
    <xf numFmtId="0" fontId="56" fillId="33" borderId="24" xfId="0" applyFont="1" applyFill="1" applyBorder="1" applyAlignment="1" applyProtection="1">
      <alignment horizontal="center" vertical="center" wrapText="1"/>
      <protection locked="0"/>
    </xf>
    <xf numFmtId="0" fontId="56" fillId="33" borderId="61" xfId="0" applyFont="1" applyFill="1" applyBorder="1" applyAlignment="1" applyProtection="1">
      <alignment horizontal="center" vertical="center" wrapText="1"/>
      <protection locked="0"/>
    </xf>
    <xf numFmtId="169" fontId="56" fillId="33" borderId="12" xfId="0" applyNumberFormat="1" applyFont="1" applyFill="1" applyBorder="1" applyAlignment="1" applyProtection="1">
      <alignment horizontal="center" vertical="center" wrapText="1"/>
      <protection locked="0"/>
    </xf>
    <xf numFmtId="169" fontId="56" fillId="33" borderId="15" xfId="0" applyNumberFormat="1" applyFont="1" applyFill="1" applyBorder="1" applyAlignment="1" applyProtection="1">
      <alignment horizontal="center" vertical="center" wrapText="1"/>
      <protection locked="0"/>
    </xf>
    <xf numFmtId="168" fontId="59" fillId="0" borderId="59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41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58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43" xfId="0" applyNumberFormat="1" applyFont="1" applyBorder="1" applyAlignment="1" applyProtection="1">
      <alignment horizontal="center" vertical="center" wrapText="1" readingOrder="1"/>
      <protection hidden="1"/>
    </xf>
    <xf numFmtId="168" fontId="60" fillId="0" borderId="17" xfId="0" applyNumberFormat="1" applyFont="1" applyBorder="1" applyAlignment="1" applyProtection="1">
      <alignment horizontal="center" vertical="top" readingOrder="1"/>
      <protection hidden="1"/>
    </xf>
    <xf numFmtId="168" fontId="60" fillId="0" borderId="66" xfId="0" applyNumberFormat="1" applyFont="1" applyBorder="1" applyAlignment="1" applyProtection="1">
      <alignment horizontal="center" vertical="top" readingOrder="1"/>
      <protection hidden="1"/>
    </xf>
    <xf numFmtId="168" fontId="60" fillId="0" borderId="67" xfId="0" applyNumberFormat="1" applyFont="1" applyBorder="1" applyAlignment="1" applyProtection="1">
      <alignment horizontal="center" vertical="top" readingOrder="1"/>
      <protection hidden="1"/>
    </xf>
    <xf numFmtId="168" fontId="60" fillId="0" borderId="17" xfId="0" applyNumberFormat="1" applyFont="1" applyBorder="1" applyAlignment="1" applyProtection="1">
      <alignment horizontal="center" vertical="top" wrapText="1" readingOrder="1"/>
      <protection hidden="1"/>
    </xf>
    <xf numFmtId="168" fontId="60" fillId="0" borderId="66" xfId="0" applyNumberFormat="1" applyFont="1" applyBorder="1" applyAlignment="1" applyProtection="1">
      <alignment horizontal="center" vertical="top" wrapText="1" readingOrder="1"/>
      <protection hidden="1"/>
    </xf>
    <xf numFmtId="168" fontId="60" fillId="0" borderId="67" xfId="0" applyNumberFormat="1" applyFont="1" applyBorder="1" applyAlignment="1" applyProtection="1">
      <alignment horizontal="center" vertical="top" wrapText="1" readingOrder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9" fontId="60" fillId="34" borderId="12" xfId="0" applyNumberFormat="1" applyFont="1" applyFill="1" applyBorder="1" applyAlignment="1" applyProtection="1">
      <alignment horizontal="center" vertical="top" wrapText="1"/>
      <protection hidden="1"/>
    </xf>
    <xf numFmtId="169" fontId="60" fillId="34" borderId="15" xfId="0" applyNumberFormat="1" applyFont="1" applyFill="1" applyBorder="1" applyAlignment="1" applyProtection="1">
      <alignment horizontal="center" vertical="top" wrapText="1"/>
      <protection hidden="1"/>
    </xf>
    <xf numFmtId="168" fontId="59" fillId="0" borderId="51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49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71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72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73" xfId="0" applyNumberFormat="1" applyFont="1" applyBorder="1" applyAlignment="1" applyProtection="1">
      <alignment horizontal="center" vertical="center" wrapText="1" readingOrder="1"/>
      <protection hidden="1"/>
    </xf>
    <xf numFmtId="168" fontId="59" fillId="0" borderId="74" xfId="0" applyNumberFormat="1" applyFont="1" applyBorder="1" applyAlignment="1" applyProtection="1">
      <alignment horizontal="center" vertical="center" wrapText="1" readingOrder="1"/>
      <protection hidden="1"/>
    </xf>
    <xf numFmtId="0" fontId="56" fillId="34" borderId="68" xfId="0" applyFont="1" applyFill="1" applyBorder="1" applyAlignment="1" applyProtection="1">
      <alignment horizontal="center" vertical="center" wrapText="1"/>
      <protection hidden="1"/>
    </xf>
    <xf numFmtId="0" fontId="55" fillId="33" borderId="12" xfId="0" applyFont="1" applyFill="1" applyBorder="1" applyAlignment="1" applyProtection="1">
      <alignment horizontal="center" vertical="center" wrapText="1"/>
      <protection hidden="1"/>
    </xf>
    <xf numFmtId="0" fontId="55" fillId="33" borderId="15" xfId="0" applyFont="1" applyFill="1" applyBorder="1" applyAlignment="1" applyProtection="1">
      <alignment horizontal="center" vertical="center" wrapText="1"/>
      <protection hidden="1"/>
    </xf>
    <xf numFmtId="169" fontId="56" fillId="34" borderId="17" xfId="0" applyNumberFormat="1" applyFont="1" applyFill="1" applyBorder="1" applyAlignment="1" applyProtection="1">
      <alignment horizontal="center" vertical="center" wrapText="1"/>
      <protection hidden="1"/>
    </xf>
    <xf numFmtId="169" fontId="56" fillId="34" borderId="66" xfId="0" applyNumberFormat="1" applyFont="1" applyFill="1" applyBorder="1" applyAlignment="1" applyProtection="1">
      <alignment horizontal="center" vertical="center" wrapText="1"/>
      <protection hidden="1"/>
    </xf>
    <xf numFmtId="4" fontId="57" fillId="0" borderId="46" xfId="0" applyNumberFormat="1" applyFont="1" applyBorder="1" applyAlignment="1" applyProtection="1">
      <alignment horizontal="center" vertical="center" wrapText="1" readingOrder="1"/>
      <protection hidden="1"/>
    </xf>
    <xf numFmtId="4" fontId="57" fillId="0" borderId="75" xfId="0" applyNumberFormat="1" applyFont="1" applyBorder="1" applyAlignment="1" applyProtection="1">
      <alignment horizontal="center" vertical="center" wrapText="1" readingOrder="1"/>
      <protection hidden="1"/>
    </xf>
    <xf numFmtId="0" fontId="56" fillId="34" borderId="10" xfId="0" applyFont="1" applyFill="1" applyBorder="1" applyAlignment="1" applyProtection="1">
      <alignment horizontal="center" vertical="center" wrapText="1"/>
      <protection hidden="1"/>
    </xf>
    <xf numFmtId="0" fontId="56" fillId="34" borderId="31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left" vertical="center"/>
      <protection hidden="1"/>
    </xf>
    <xf numFmtId="0" fontId="56" fillId="34" borderId="56" xfId="0" applyFont="1" applyFill="1" applyBorder="1" applyAlignment="1" applyProtection="1">
      <alignment horizontal="center" vertical="center" wrapText="1"/>
      <protection hidden="1"/>
    </xf>
    <xf numFmtId="0" fontId="56" fillId="34" borderId="46" xfId="0" applyFont="1" applyFill="1" applyBorder="1" applyAlignment="1" applyProtection="1">
      <alignment horizontal="center" vertical="center" wrapText="1"/>
      <protection hidden="1"/>
    </xf>
    <xf numFmtId="0" fontId="56" fillId="34" borderId="57" xfId="0" applyFont="1" applyFill="1" applyBorder="1" applyAlignment="1" applyProtection="1">
      <alignment horizontal="center" vertical="center" wrapText="1"/>
      <protection hidden="1"/>
    </xf>
    <xf numFmtId="0" fontId="56" fillId="34" borderId="76" xfId="0" applyFont="1" applyFill="1" applyBorder="1" applyAlignment="1" applyProtection="1">
      <alignment horizontal="center" vertical="center" wrapText="1"/>
      <protection hidden="1"/>
    </xf>
    <xf numFmtId="0" fontId="56" fillId="34" borderId="13" xfId="0" applyFont="1" applyFill="1" applyBorder="1" applyAlignment="1" applyProtection="1">
      <alignment horizontal="center" vertical="center" wrapText="1"/>
      <protection hidden="1"/>
    </xf>
    <xf numFmtId="0" fontId="56" fillId="34" borderId="33" xfId="0" applyFont="1" applyFill="1" applyBorder="1" applyAlignment="1" applyProtection="1">
      <alignment horizontal="center" vertical="center" wrapText="1"/>
      <protection hidden="1"/>
    </xf>
    <xf numFmtId="0" fontId="56" fillId="34" borderId="47" xfId="0" applyFont="1" applyFill="1" applyBorder="1" applyAlignment="1" applyProtection="1">
      <alignment horizontal="center" vertical="center" wrapText="1"/>
      <protection hidden="1"/>
    </xf>
    <xf numFmtId="0" fontId="56" fillId="34" borderId="34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0" fillId="33" borderId="77" xfId="0" applyFont="1" applyFill="1" applyBorder="1" applyAlignment="1" applyProtection="1">
      <alignment horizontal="left" vertical="center"/>
      <protection locked="0"/>
    </xf>
    <xf numFmtId="0" fontId="0" fillId="33" borderId="78" xfId="0" applyFont="1" applyFill="1" applyBorder="1" applyAlignment="1" applyProtection="1">
      <alignment horizontal="left" vertical="center"/>
      <protection locked="0"/>
    </xf>
    <xf numFmtId="0" fontId="3" fillId="33" borderId="77" xfId="0" applyFont="1" applyFill="1" applyBorder="1" applyAlignment="1" applyProtection="1">
      <alignment horizontal="center" vertical="center" wrapText="1"/>
      <protection locked="0"/>
    </xf>
    <xf numFmtId="0" fontId="3" fillId="33" borderId="79" xfId="0" applyFont="1" applyFill="1" applyBorder="1" applyAlignment="1" applyProtection="1">
      <alignment horizontal="center" vertical="center" wrapText="1"/>
      <protection locked="0"/>
    </xf>
    <xf numFmtId="0" fontId="3" fillId="33" borderId="80" xfId="0" applyFont="1" applyFill="1" applyBorder="1" applyAlignment="1" applyProtection="1">
      <alignment horizontal="center" vertical="center" wrapText="1"/>
      <protection locked="0"/>
    </xf>
    <xf numFmtId="0" fontId="3" fillId="33" borderId="8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82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wrapText="1"/>
      <protection hidden="1"/>
    </xf>
    <xf numFmtId="0" fontId="0" fillId="0" borderId="22" xfId="0" applyFont="1" applyFill="1" applyBorder="1" applyAlignment="1" applyProtection="1">
      <alignment wrapText="1"/>
      <protection hidden="1"/>
    </xf>
    <xf numFmtId="0" fontId="55" fillId="33" borderId="27" xfId="0" applyFont="1" applyFill="1" applyBorder="1" applyAlignment="1" applyProtection="1">
      <alignment horizontal="left" vertical="center" wrapText="1"/>
      <protection locked="0"/>
    </xf>
    <xf numFmtId="0" fontId="55" fillId="33" borderId="26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left"/>
      <protection hidden="1"/>
    </xf>
    <xf numFmtId="0" fontId="0" fillId="0" borderId="31" xfId="0" applyFont="1" applyFill="1" applyBorder="1" applyAlignment="1" applyProtection="1">
      <alignment horizontal="left"/>
      <protection hidden="1"/>
    </xf>
    <xf numFmtId="0" fontId="3" fillId="36" borderId="76" xfId="0" applyFont="1" applyFill="1" applyBorder="1" applyAlignment="1" applyProtection="1">
      <alignment horizontal="center" vertical="center" wrapText="1"/>
      <protection hidden="1"/>
    </xf>
    <xf numFmtId="0" fontId="3" fillId="36" borderId="47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3" borderId="76" xfId="0" applyFont="1" applyFill="1" applyBorder="1" applyAlignment="1" applyProtection="1">
      <alignment horizontal="center" vertical="center" wrapText="1"/>
      <protection hidden="1"/>
    </xf>
    <xf numFmtId="0" fontId="3" fillId="33" borderId="4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0" fillId="0" borderId="33" xfId="0" applyFont="1" applyFill="1" applyBorder="1" applyAlignment="1" applyProtection="1">
      <alignment wrapText="1"/>
      <protection hidden="1"/>
    </xf>
    <xf numFmtId="0" fontId="0" fillId="0" borderId="31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84" xfId="0" applyFont="1" applyBorder="1" applyAlignment="1" applyProtection="1">
      <alignment horizontal="left"/>
      <protection hidden="1"/>
    </xf>
    <xf numFmtId="0" fontId="0" fillId="0" borderId="57" xfId="0" applyBorder="1" applyAlignment="1" applyProtection="1">
      <alignment horizontal="left"/>
      <protection hidden="1"/>
    </xf>
    <xf numFmtId="176" fontId="9" fillId="0" borderId="0" xfId="0" applyNumberFormat="1" applyFont="1" applyAlignment="1" applyProtection="1">
      <alignment horizontal="center" vertical="center" wrapText="1"/>
      <protection hidden="1"/>
    </xf>
    <xf numFmtId="176" fontId="9" fillId="0" borderId="83" xfId="0" applyNumberFormat="1" applyFont="1" applyBorder="1" applyAlignment="1" applyProtection="1">
      <alignment horizontal="center" vertical="center" wrapText="1"/>
      <protection hidden="1"/>
    </xf>
    <xf numFmtId="0" fontId="10" fillId="36" borderId="76" xfId="0" applyFont="1" applyFill="1" applyBorder="1" applyAlignment="1" applyProtection="1">
      <alignment horizontal="center" vertical="center" wrapText="1"/>
      <protection hidden="1"/>
    </xf>
    <xf numFmtId="0" fontId="10" fillId="36" borderId="47" xfId="0" applyFont="1" applyFill="1" applyBorder="1" applyAlignment="1" applyProtection="1">
      <alignment horizontal="center" vertical="center" wrapText="1"/>
      <protection hidden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17375E"/>
      <rgbColor rgb="00B7DEE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0</xdr:rowOff>
    </xdr:from>
    <xdr:to>
      <xdr:col>15</xdr:col>
      <xdr:colOff>533400</xdr:colOff>
      <xdr:row>1</xdr:row>
      <xdr:rowOff>533400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0</xdr:rowOff>
    </xdr:from>
    <xdr:to>
      <xdr:col>17</xdr:col>
      <xdr:colOff>533400</xdr:colOff>
      <xdr:row>1</xdr:row>
      <xdr:rowOff>533400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83225" y="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504825</xdr:colOff>
      <xdr:row>0</xdr:row>
      <xdr:rowOff>0</xdr:rowOff>
    </xdr:from>
    <xdr:to>
      <xdr:col>17</xdr:col>
      <xdr:colOff>1076325</xdr:colOff>
      <xdr:row>1</xdr:row>
      <xdr:rowOff>676275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3</xdr:row>
      <xdr:rowOff>57150</xdr:rowOff>
    </xdr:from>
    <xdr:to>
      <xdr:col>23</xdr:col>
      <xdr:colOff>514350</xdr:colOff>
      <xdr:row>5</xdr:row>
      <xdr:rowOff>1009650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31225" y="1123950"/>
          <a:ext cx="32099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5</xdr:col>
      <xdr:colOff>295275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</xdr:colOff>
      <xdr:row>0</xdr:row>
      <xdr:rowOff>133350</xdr:rowOff>
    </xdr:from>
    <xdr:to>
      <xdr:col>17</xdr:col>
      <xdr:colOff>390525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11375" y="13335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9525</xdr:rowOff>
    </xdr:from>
    <xdr:to>
      <xdr:col>9</xdr:col>
      <xdr:colOff>381000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19050</xdr:rowOff>
    </xdr:from>
    <xdr:to>
      <xdr:col>12</xdr:col>
      <xdr:colOff>314325</xdr:colOff>
      <xdr:row>13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962025"/>
          <a:ext cx="38481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57150</xdr:rowOff>
    </xdr:from>
    <xdr:to>
      <xdr:col>13</xdr:col>
      <xdr:colOff>266700</xdr:colOff>
      <xdr:row>3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5715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58"/>
  <sheetViews>
    <sheetView zoomScalePageLayoutView="0" workbookViewId="0" topLeftCell="A33">
      <selection activeCell="B40" sqref="B40"/>
    </sheetView>
  </sheetViews>
  <sheetFormatPr defaultColWidth="9.140625" defaultRowHeight="12.75"/>
  <cols>
    <col min="1" max="1" width="5.421875" style="1" customWidth="1"/>
    <col min="2" max="2" width="37.421875" style="1" customWidth="1"/>
    <col min="3" max="3" width="63.7109375" style="1" customWidth="1"/>
    <col min="4" max="4" width="18.421875" style="1" customWidth="1"/>
    <col min="5" max="16384" width="9.140625" style="1" customWidth="1"/>
  </cols>
  <sheetData>
    <row r="2" spans="1:3" ht="28.5" customHeight="1">
      <c r="A2" s="272" t="s">
        <v>164</v>
      </c>
      <c r="B2" s="272"/>
      <c r="C2" s="12"/>
    </row>
    <row r="3" ht="13.5" thickBot="1">
      <c r="B3" s="13"/>
    </row>
    <row r="4" spans="1:4" ht="31.5" customHeight="1" thickBot="1">
      <c r="A4" s="32" t="s">
        <v>133</v>
      </c>
      <c r="B4" s="270" t="s">
        <v>303</v>
      </c>
      <c r="C4" s="271"/>
      <c r="D4" s="14"/>
    </row>
    <row r="5" spans="1:3" ht="63.75">
      <c r="A5" s="24" t="s">
        <v>134</v>
      </c>
      <c r="B5" s="26" t="s">
        <v>281</v>
      </c>
      <c r="C5" s="27" t="s">
        <v>306</v>
      </c>
    </row>
    <row r="6" spans="1:3" ht="76.5">
      <c r="A6" s="15" t="s">
        <v>135</v>
      </c>
      <c r="B6" s="22" t="s">
        <v>274</v>
      </c>
      <c r="C6" s="16" t="s">
        <v>307</v>
      </c>
    </row>
    <row r="7" spans="1:3" ht="63.75" customHeight="1">
      <c r="A7" s="15" t="s">
        <v>137</v>
      </c>
      <c r="B7" s="22" t="s">
        <v>275</v>
      </c>
      <c r="C7" s="16" t="s">
        <v>285</v>
      </c>
    </row>
    <row r="8" spans="1:3" ht="51">
      <c r="A8" s="15" t="s">
        <v>138</v>
      </c>
      <c r="B8" s="22" t="s">
        <v>277</v>
      </c>
      <c r="C8" s="16" t="s">
        <v>278</v>
      </c>
    </row>
    <row r="9" spans="1:3" ht="63.75">
      <c r="A9" s="15" t="s">
        <v>139</v>
      </c>
      <c r="B9" s="22" t="s">
        <v>276</v>
      </c>
      <c r="C9" s="16" t="s">
        <v>278</v>
      </c>
    </row>
    <row r="10" spans="1:3" ht="25.5">
      <c r="A10" s="15" t="s">
        <v>140</v>
      </c>
      <c r="B10" s="22" t="s">
        <v>114</v>
      </c>
      <c r="C10" s="16" t="s">
        <v>144</v>
      </c>
    </row>
    <row r="11" spans="1:3" ht="38.25">
      <c r="A11" s="15" t="s">
        <v>141</v>
      </c>
      <c r="B11" s="22" t="s">
        <v>146</v>
      </c>
      <c r="C11" s="16" t="s">
        <v>308</v>
      </c>
    </row>
    <row r="12" spans="1:3" ht="45.75" customHeight="1">
      <c r="A12" s="15" t="s">
        <v>142</v>
      </c>
      <c r="B12" s="22" t="s">
        <v>327</v>
      </c>
      <c r="C12" s="16" t="s">
        <v>329</v>
      </c>
    </row>
    <row r="13" spans="1:3" ht="51">
      <c r="A13" s="15" t="s">
        <v>145</v>
      </c>
      <c r="B13" s="22" t="s">
        <v>326</v>
      </c>
      <c r="C13" s="16" t="s">
        <v>328</v>
      </c>
    </row>
    <row r="14" spans="1:3" ht="51">
      <c r="A14" s="15" t="s">
        <v>147</v>
      </c>
      <c r="B14" s="22" t="s">
        <v>103</v>
      </c>
      <c r="C14" s="16" t="s">
        <v>217</v>
      </c>
    </row>
    <row r="15" spans="1:3" ht="27.75" customHeight="1">
      <c r="A15" s="15" t="s">
        <v>148</v>
      </c>
      <c r="B15" s="22" t="s">
        <v>116</v>
      </c>
      <c r="C15" s="16" t="s">
        <v>162</v>
      </c>
    </row>
    <row r="16" spans="1:3" ht="42" customHeight="1">
      <c r="A16" s="28" t="s">
        <v>149</v>
      </c>
      <c r="B16" s="29" t="s">
        <v>288</v>
      </c>
      <c r="C16" s="30" t="s">
        <v>280</v>
      </c>
    </row>
    <row r="17" spans="1:3" ht="51.75" thickBot="1">
      <c r="A17" s="28" t="s">
        <v>325</v>
      </c>
      <c r="B17" s="29" t="s">
        <v>105</v>
      </c>
      <c r="C17" s="30" t="s">
        <v>218</v>
      </c>
    </row>
    <row r="18" spans="1:3" ht="27.75" customHeight="1" thickBot="1">
      <c r="A18" s="31" t="s">
        <v>163</v>
      </c>
      <c r="B18" s="273" t="s">
        <v>304</v>
      </c>
      <c r="C18" s="274"/>
    </row>
    <row r="19" spans="1:3" ht="51">
      <c r="A19" s="24" t="s">
        <v>150</v>
      </c>
      <c r="B19" s="26" t="s">
        <v>274</v>
      </c>
      <c r="C19" s="27" t="s">
        <v>282</v>
      </c>
    </row>
    <row r="20" spans="1:3" ht="75.75" customHeight="1">
      <c r="A20" s="15" t="s">
        <v>151</v>
      </c>
      <c r="B20" s="22" t="s">
        <v>274</v>
      </c>
      <c r="C20" s="16" t="s">
        <v>283</v>
      </c>
    </row>
    <row r="21" spans="1:3" ht="84.75" customHeight="1">
      <c r="A21" s="15" t="s">
        <v>152</v>
      </c>
      <c r="B21" s="22" t="s">
        <v>284</v>
      </c>
      <c r="C21" s="16" t="s">
        <v>286</v>
      </c>
    </row>
    <row r="22" spans="1:3" ht="51">
      <c r="A22" s="15" t="s">
        <v>153</v>
      </c>
      <c r="B22" s="22" t="s">
        <v>277</v>
      </c>
      <c r="C22" s="16" t="s">
        <v>309</v>
      </c>
    </row>
    <row r="23" spans="1:3" ht="63.75">
      <c r="A23" s="15" t="s">
        <v>154</v>
      </c>
      <c r="B23" s="22" t="s">
        <v>276</v>
      </c>
      <c r="C23" s="16" t="s">
        <v>143</v>
      </c>
    </row>
    <row r="24" spans="1:3" ht="25.5">
      <c r="A24" s="15" t="s">
        <v>155</v>
      </c>
      <c r="B24" s="22" t="s">
        <v>114</v>
      </c>
      <c r="C24" s="16" t="s">
        <v>144</v>
      </c>
    </row>
    <row r="25" spans="1:3" ht="38.25">
      <c r="A25" s="15" t="s">
        <v>156</v>
      </c>
      <c r="B25" s="22" t="s">
        <v>146</v>
      </c>
      <c r="C25" s="16" t="s">
        <v>310</v>
      </c>
    </row>
    <row r="26" spans="1:3" ht="42.75" customHeight="1">
      <c r="A26" s="15" t="s">
        <v>157</v>
      </c>
      <c r="B26" s="22" t="s">
        <v>327</v>
      </c>
      <c r="C26" s="16" t="s">
        <v>329</v>
      </c>
    </row>
    <row r="27" spans="1:3" ht="51">
      <c r="A27" s="15" t="s">
        <v>158</v>
      </c>
      <c r="B27" s="22" t="s">
        <v>326</v>
      </c>
      <c r="C27" s="16" t="s">
        <v>331</v>
      </c>
    </row>
    <row r="28" spans="1:3" ht="51">
      <c r="A28" s="15" t="s">
        <v>159</v>
      </c>
      <c r="B28" s="22" t="s">
        <v>103</v>
      </c>
      <c r="C28" s="16" t="s">
        <v>287</v>
      </c>
    </row>
    <row r="29" spans="1:3" ht="25.5">
      <c r="A29" s="15" t="s">
        <v>160</v>
      </c>
      <c r="B29" s="22" t="s">
        <v>116</v>
      </c>
      <c r="C29" s="16" t="s">
        <v>162</v>
      </c>
    </row>
    <row r="30" spans="1:3" ht="38.25">
      <c r="A30" s="15" t="s">
        <v>161</v>
      </c>
      <c r="B30" s="22" t="s">
        <v>288</v>
      </c>
      <c r="C30" s="16" t="s">
        <v>280</v>
      </c>
    </row>
    <row r="31" spans="1:3" ht="51">
      <c r="A31" s="15" t="s">
        <v>330</v>
      </c>
      <c r="B31" s="22" t="s">
        <v>105</v>
      </c>
      <c r="C31" s="16" t="s">
        <v>219</v>
      </c>
    </row>
    <row r="32" spans="1:3" ht="12.75">
      <c r="A32" s="33" t="s">
        <v>165</v>
      </c>
      <c r="B32" s="268" t="s">
        <v>311</v>
      </c>
      <c r="C32" s="269"/>
    </row>
    <row r="33" spans="1:3" ht="12.75">
      <c r="A33" s="33" t="s">
        <v>166</v>
      </c>
      <c r="B33" s="268" t="s">
        <v>174</v>
      </c>
      <c r="C33" s="269"/>
    </row>
    <row r="34" spans="1:3" ht="25.5">
      <c r="A34" s="15" t="s">
        <v>169</v>
      </c>
      <c r="B34" s="22" t="s">
        <v>175</v>
      </c>
      <c r="C34" s="16" t="s">
        <v>176</v>
      </c>
    </row>
    <row r="35" spans="1:3" ht="25.5">
      <c r="A35" s="15" t="s">
        <v>170</v>
      </c>
      <c r="B35" s="22" t="s">
        <v>73</v>
      </c>
      <c r="C35" s="16" t="s">
        <v>289</v>
      </c>
    </row>
    <row r="36" spans="1:3" ht="25.5">
      <c r="A36" s="15" t="s">
        <v>171</v>
      </c>
      <c r="B36" s="22" t="s">
        <v>178</v>
      </c>
      <c r="C36" s="16" t="s">
        <v>290</v>
      </c>
    </row>
    <row r="37" spans="1:3" ht="25.5">
      <c r="A37" s="15" t="s">
        <v>172</v>
      </c>
      <c r="B37" s="22" t="s">
        <v>177</v>
      </c>
      <c r="C37" s="16" t="s">
        <v>290</v>
      </c>
    </row>
    <row r="38" spans="1:3" ht="38.25">
      <c r="A38" s="15" t="s">
        <v>173</v>
      </c>
      <c r="B38" s="22" t="s">
        <v>179</v>
      </c>
      <c r="C38" s="16" t="s">
        <v>291</v>
      </c>
    </row>
    <row r="39" spans="1:3" ht="12.75">
      <c r="A39" s="33" t="s">
        <v>182</v>
      </c>
      <c r="B39" s="275" t="s">
        <v>181</v>
      </c>
      <c r="C39" s="276"/>
    </row>
    <row r="40" spans="1:3" ht="63.75">
      <c r="A40" s="15" t="s">
        <v>183</v>
      </c>
      <c r="B40" s="22" t="s">
        <v>186</v>
      </c>
      <c r="C40" s="16" t="s">
        <v>292</v>
      </c>
    </row>
    <row r="41" spans="1:3" ht="51">
      <c r="A41" s="15" t="s">
        <v>184</v>
      </c>
      <c r="B41" s="22" t="s">
        <v>187</v>
      </c>
      <c r="C41" s="16" t="s">
        <v>220</v>
      </c>
    </row>
    <row r="42" spans="1:3" ht="25.5">
      <c r="A42" s="15" t="s">
        <v>185</v>
      </c>
      <c r="B42" s="22" t="s">
        <v>188</v>
      </c>
      <c r="C42" s="16" t="s">
        <v>221</v>
      </c>
    </row>
    <row r="43" spans="1:3" ht="12.75">
      <c r="A43" s="33" t="s">
        <v>189</v>
      </c>
      <c r="B43" s="268" t="s">
        <v>191</v>
      </c>
      <c r="C43" s="269"/>
    </row>
    <row r="44" spans="1:3" ht="51" customHeight="1">
      <c r="A44" s="15" t="s">
        <v>192</v>
      </c>
      <c r="B44" s="22" t="s">
        <v>190</v>
      </c>
      <c r="C44" s="16" t="s">
        <v>305</v>
      </c>
    </row>
    <row r="45" spans="1:3" ht="25.5">
      <c r="A45" s="15" t="s">
        <v>193</v>
      </c>
      <c r="B45" s="22" t="s">
        <v>222</v>
      </c>
      <c r="C45" s="16" t="s">
        <v>194</v>
      </c>
    </row>
    <row r="46" spans="1:3" ht="12.75">
      <c r="A46" s="15" t="s">
        <v>198</v>
      </c>
      <c r="B46" s="268" t="s">
        <v>199</v>
      </c>
      <c r="C46" s="269"/>
    </row>
    <row r="47" spans="1:3" ht="76.5">
      <c r="A47" s="15" t="s">
        <v>200</v>
      </c>
      <c r="B47" s="22" t="s">
        <v>201</v>
      </c>
      <c r="C47" s="16" t="s">
        <v>223</v>
      </c>
    </row>
    <row r="48" spans="1:3" ht="12.75">
      <c r="A48" s="15" t="s">
        <v>213</v>
      </c>
      <c r="B48" s="268" t="s">
        <v>214</v>
      </c>
      <c r="C48" s="269"/>
    </row>
    <row r="49" spans="1:3" ht="76.5" customHeight="1">
      <c r="A49" s="15" t="s">
        <v>205</v>
      </c>
      <c r="B49" s="22" t="s">
        <v>293</v>
      </c>
      <c r="C49" s="27" t="s">
        <v>294</v>
      </c>
    </row>
    <row r="50" spans="1:3" ht="51">
      <c r="A50" s="15" t="s">
        <v>206</v>
      </c>
      <c r="B50" s="22" t="s">
        <v>295</v>
      </c>
      <c r="C50" s="16" t="s">
        <v>296</v>
      </c>
    </row>
    <row r="51" spans="1:3" ht="51">
      <c r="A51" s="15" t="s">
        <v>207</v>
      </c>
      <c r="B51" s="22" t="s">
        <v>298</v>
      </c>
      <c r="C51" s="16" t="s">
        <v>299</v>
      </c>
    </row>
    <row r="52" spans="1:3" ht="25.5">
      <c r="A52" s="15" t="s">
        <v>208</v>
      </c>
      <c r="B52" s="22" t="s">
        <v>72</v>
      </c>
      <c r="C52" s="16" t="s">
        <v>312</v>
      </c>
    </row>
    <row r="53" spans="1:3" ht="25.5">
      <c r="A53" s="15" t="s">
        <v>209</v>
      </c>
      <c r="B53" s="22" t="s">
        <v>215</v>
      </c>
      <c r="C53" s="16" t="s">
        <v>313</v>
      </c>
    </row>
    <row r="54" spans="1:3" ht="51">
      <c r="A54" s="15" t="s">
        <v>210</v>
      </c>
      <c r="B54" s="22" t="s">
        <v>96</v>
      </c>
      <c r="C54" s="16" t="s">
        <v>224</v>
      </c>
    </row>
    <row r="55" spans="1:3" ht="51">
      <c r="A55" s="15" t="s">
        <v>211</v>
      </c>
      <c r="B55" s="22" t="s">
        <v>202</v>
      </c>
      <c r="C55" s="16" t="s">
        <v>216</v>
      </c>
    </row>
    <row r="56" spans="1:3" ht="26.25" thickBot="1">
      <c r="A56" s="70" t="s">
        <v>212</v>
      </c>
      <c r="B56" s="72" t="s">
        <v>300</v>
      </c>
      <c r="C56" s="71" t="s">
        <v>301</v>
      </c>
    </row>
    <row r="57" spans="1:3" ht="63" customHeight="1">
      <c r="A57" s="15" t="s">
        <v>302</v>
      </c>
      <c r="B57" s="22" t="s">
        <v>315</v>
      </c>
      <c r="C57" s="16" t="s">
        <v>314</v>
      </c>
    </row>
    <row r="58" spans="1:3" ht="12.75">
      <c r="A58" s="15" t="s">
        <v>319</v>
      </c>
      <c r="B58" s="22" t="s">
        <v>320</v>
      </c>
      <c r="C58" s="16" t="s">
        <v>321</v>
      </c>
    </row>
  </sheetData>
  <sheetProtection password="CBA5" sheet="1"/>
  <mergeCells count="9">
    <mergeCell ref="B43:C43"/>
    <mergeCell ref="B46:C46"/>
    <mergeCell ref="B48:C48"/>
    <mergeCell ref="B4:C4"/>
    <mergeCell ref="A2:B2"/>
    <mergeCell ref="B18:C18"/>
    <mergeCell ref="B32:C32"/>
    <mergeCell ref="B33:C33"/>
    <mergeCell ref="B39:C39"/>
  </mergeCells>
  <hyperlinks>
    <hyperlink ref="B5" location="'Финансовый план КФХ'!A4" display="Кол-во голов КРС (бычков на откорм)"/>
    <hyperlink ref="B7" location="'Финансовый план КФХ'!A13" display="Реализация мяса в &quot;живом весе&quot;"/>
    <hyperlink ref="B8" location="'Финансовый план КФХ'!A19" display="Покупка бычков на &quot;молочной ферме&quot;"/>
    <hyperlink ref="B10" location="'Финансовый план КФХ'!A31" display="Соль"/>
    <hyperlink ref="B11" location="'Финансовый план КФХ'!A32" display="Ветеринарные препараты "/>
    <hyperlink ref="B14" location="'Финансовый план КФХ'!A36" display="Валовой доход руб."/>
    <hyperlink ref="B17" location="'Финансовый план КФХ'!A41" display="Чистый доход руб."/>
    <hyperlink ref="B19" location="'Финансовый план КФХ-СХК'!A4" display="Кол-во голов КРС (бычков на откорм)"/>
    <hyperlink ref="B24" location="'Финансовый план КФХ-СХК'!A31" display="Соль"/>
    <hyperlink ref="B25" location="'Финансовый план КФХ-СХК'!A32" display="Ветеринарные препараты "/>
    <hyperlink ref="B28" location="'Финансовый план КФХ-СХК'!A36" display="Валовой доход руб."/>
    <hyperlink ref="B31" location="'Финансовый план КФХ-СХК'!A41" display="Чистый доход руб."/>
    <hyperlink ref="B29" location="'Финансовый план КФХ-СХК'!A37" display="Грантовая поддержка &quot;Начинающий фермер&quot; (Собственное участие)"/>
    <hyperlink ref="B15" location="'Финансовый план КФХ'!A37" display="Грантовая поддержка &quot;Начинающий фермер&quot; (Собственное участие)"/>
    <hyperlink ref="B34" location="'Анализ рынка СХК'!C2" display="Спрос на услуги"/>
    <hyperlink ref="B35" location="'Анализ рынка СХК'!A8" display="Ритэйл, фермерские и продуктовые магазины, рынки. "/>
    <hyperlink ref="B36" location="'Анализ рынка СХК'!A14" display="Федеральные/региональные розничные сети"/>
    <hyperlink ref="B37" location="'Анализ рынка СХК'!A15" display="Оптовые/общественные рынки, ярмарки, фермерские магазины"/>
    <hyperlink ref="B38" location="'Анализ рынка СХК'!A22" display="Конкурентная/партнерская среда"/>
    <hyperlink ref="B40" location="'План продаж СХК'!A4" display="График выхода на проектную мощность"/>
    <hyperlink ref="B41" location="'План продаж СХК'!A24" display="План продаж по годам"/>
    <hyperlink ref="B42" location="'План продаж СХК'!A39" display="Сезонность продаж"/>
    <hyperlink ref="B4:C4" location="'Финансовый план КФХ'!G1" display="Финансовый план КФХ"/>
    <hyperlink ref="B18:C18" location="'Финансовый план КФХ-СХК'!G1" display="Крестьянско-фермерское хозяйство (начинающий фермер), член СПоК."/>
    <hyperlink ref="B33:C33" location="'Анализ рынка СХК'!A1" display="Анализ рынка в регионе"/>
    <hyperlink ref="B39:C39" location="'План продаж СХК'!A1" display="План продаж"/>
    <hyperlink ref="B43:C43" location="'Инвестиционная программа СХК'!A1" display="Инвестиционная программа"/>
    <hyperlink ref="B44" location="'Инвестиционная программа СХК'!A6" display="Потребность в финансировании"/>
    <hyperlink ref="B45" location="'Инвестиционная программа СХК'!A22" display="График финансирования"/>
    <hyperlink ref="B46:C46" location="'Доходы-расходы СХК'!A1" display="Доходы-расходы СХК"/>
    <hyperlink ref="B47" location="'Доходы-расходы СХК'!A5" display="Штатное расписание"/>
    <hyperlink ref="B48:C48" location="'Финансовый план СХК'!A1" display="Финансовый план СХК"/>
    <hyperlink ref="B49" location="'Финансовый план СХК'!A4" display="Кол-во голов КРС (на убой в год)"/>
    <hyperlink ref="B50" location="'Финансовый план СХК'!A8" display="Реализация мяса после &quot;убоя с 1 головы&quot;"/>
    <hyperlink ref="B51" location="'Финансовый план СХК'!A18" display="Покупка бычков у членов кооператива"/>
    <hyperlink ref="B52" location="'Финансовый план СХК'!A21" display="Прочие расходы"/>
    <hyperlink ref="B53" location="'Финансовый план СХК'!A23" display="Услуги лаборатории"/>
    <hyperlink ref="B54" location="'Финансовый план СХК'!A24" display="Транспортные расходы, запасные части, коммунальные расходы, расходы на содержание зданий, канцелярские расходы и пр."/>
    <hyperlink ref="B55" location="'Финансовый план СХК'!A27" display="Грантовая поддержка  создание неделимого фонда на каждого члена кооператива/развитие МТБ (Собственное участие)"/>
    <hyperlink ref="B56" location="'Финансовый план СХК'!A29" display="Грантовая поддержка на развитие МТБ, или Агростартап"/>
    <hyperlink ref="B6" location="'Финансовый план КФХ'!A9" display="Стоимость создания основных фондов: СМР, оборудование и техника (80 тыс. руб. на 1 скотоместо), приобретение дойных коров."/>
    <hyperlink ref="B9" location="'Финансовый план КФХ'!A27" display="Годовой рацион (телята от 0 до 6 мес., молодняк от 6 до 12 мес., телки, нетели, сухостойные коровы), с указанием объёма и стоимости за 1 кг. Возможно менять рацион, объём и стоимость."/>
    <hyperlink ref="B16" location="'Финансовый план КФХ'!A39" display="Кредит на приобретение коров и пополнение оборотных средств на 3 года по ставке 5%"/>
    <hyperlink ref="B20" location="'Финансовый план КФХ-СХК'!A9" display="Стоимость создания основных фондов: СМР, оборудование и техника (80 тыс. руб. на 1 скотоместо), приобретение дойных коров."/>
    <hyperlink ref="B21" location="'Финансовый план КФХ-СХК'!A12" display="Реализация молока. Стоимость за 1 литр зависит от цены которую будет предлагать сельскохозяйственный кооператив. Так же возможно менять объем годового удоя с одной головы дойной коровы."/>
    <hyperlink ref="B22" location="'Финансовый план КФХ-СХК'!A19" display="Годовой кормовой рацион одной головы дойной коровы, с указанием объёма и стоимости кормов за 1 кг. Возможно менять рацион, объём и стоимость."/>
    <hyperlink ref="B23" location="'Финансовый план КФХ-СХК'!A26" display="Годовой рацион (телята от 0 до 6 мес., молодняк от 6 до 12 мес., телки, нетели, сухостойные коровы), с указанием объёма и стоимости за 1 кг. Возможно менять рацион, объём и стоимость."/>
    <hyperlink ref="B30" location="'Финансовый план КФХ-СХК'!A39" display="Кредит на приобретение коров и пополнение оборотных средств на 3 года по ставке 5%"/>
    <hyperlink ref="B57" location="'Финансовый план СХК'!A30" display="Кредит (займ) на приобретение основных фондов и пополнение оборотных средств на 3 года по ставке 5%, в том числе 30% от собственного участия в грантовой поддержке на развитие МТБ"/>
    <hyperlink ref="B32:C32" location="'Финансовый план СХК'!G1" display="Бизнес-план и финансовая модель СПоК"/>
    <hyperlink ref="B58" location="'График погашения кредита'!G4" display="График погашения кредитных средств"/>
    <hyperlink ref="B12" location="'Финансовый план КФХ'!A33" display="Выбраковка (мастит, репродуктивные функции, хромота и т.д.), ремонт основного стада."/>
    <hyperlink ref="B13" location="'Финансовый план КФХ'!A34" display="Транспортные, коммунальные (моющие средства, инвентарь и т.д.) и иные расходы. "/>
    <hyperlink ref="B27" location="'Финансовый план КФХ-СХК'!A34" display="Транспортные, коммунальные (моющие средства, инвентарь и т.д.) и иные расходы. "/>
    <hyperlink ref="B26" location="'Финансовый план КФХ-СХК'!A33" display="Выбраковка (мастит, репродуктивные функции, хромота и т.д.), ремонт основного стада.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132" customWidth="1"/>
    <col min="2" max="2" width="37.28125" style="132" customWidth="1"/>
    <col min="3" max="3" width="15.28125" style="132" customWidth="1"/>
    <col min="4" max="4" width="15.8515625" style="132" bestFit="1" customWidth="1"/>
    <col min="5" max="5" width="16.28125" style="132" bestFit="1" customWidth="1"/>
    <col min="6" max="6" width="16.140625" style="132" customWidth="1"/>
    <col min="7" max="7" width="16.28125" style="132" bestFit="1" customWidth="1"/>
    <col min="8" max="8" width="15.8515625" style="132" customWidth="1"/>
    <col min="9" max="9" width="15.7109375" style="132" customWidth="1"/>
    <col min="10" max="16" width="16.28125" style="132" bestFit="1" customWidth="1"/>
    <col min="17" max="16384" width="9.140625" style="132" customWidth="1"/>
  </cols>
  <sheetData>
    <row r="1" spans="2:16" ht="12.75">
      <c r="B1" s="319" t="s">
        <v>119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2:16" ht="49.5" customHeight="1" thickBot="1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2:16" ht="27.75" customHeight="1" thickBot="1">
      <c r="B3" s="301" t="s">
        <v>107</v>
      </c>
      <c r="C3" s="301" t="s">
        <v>136</v>
      </c>
      <c r="D3" s="133" t="s">
        <v>250</v>
      </c>
      <c r="E3" s="304" t="s">
        <v>229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</row>
    <row r="4" spans="1:16" ht="49.5" customHeight="1" thickBot="1">
      <c r="A4" s="143" t="s">
        <v>134</v>
      </c>
      <c r="B4" s="302"/>
      <c r="C4" s="302"/>
      <c r="D4" s="155">
        <v>0.4</v>
      </c>
      <c r="E4" s="298">
        <f>E6+(E6*D4)</f>
        <v>14</v>
      </c>
      <c r="F4" s="299"/>
      <c r="G4" s="299"/>
      <c r="H4" s="300"/>
      <c r="I4" s="298">
        <f>I6+(I6*D4)</f>
        <v>21</v>
      </c>
      <c r="J4" s="299"/>
      <c r="K4" s="299"/>
      <c r="L4" s="300"/>
      <c r="M4" s="298">
        <f>M6+(M6*D4)</f>
        <v>28</v>
      </c>
      <c r="N4" s="299"/>
      <c r="O4" s="299"/>
      <c r="P4" s="300"/>
    </row>
    <row r="5" spans="2:16" ht="30" customHeight="1" thickBot="1">
      <c r="B5" s="302"/>
      <c r="C5" s="302"/>
      <c r="D5" s="302" t="s">
        <v>227</v>
      </c>
      <c r="E5" s="304" t="s">
        <v>225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5"/>
    </row>
    <row r="6" spans="1:16" ht="41.25" customHeight="1" thickBot="1">
      <c r="A6" s="134"/>
      <c r="B6" s="302"/>
      <c r="C6" s="302"/>
      <c r="D6" s="302"/>
      <c r="E6" s="320">
        <v>10</v>
      </c>
      <c r="F6" s="320"/>
      <c r="G6" s="320"/>
      <c r="H6" s="320"/>
      <c r="I6" s="321">
        <v>15</v>
      </c>
      <c r="J6" s="320"/>
      <c r="K6" s="320"/>
      <c r="L6" s="320"/>
      <c r="M6" s="321">
        <v>20</v>
      </c>
      <c r="N6" s="320"/>
      <c r="O6" s="320"/>
      <c r="P6" s="322"/>
    </row>
    <row r="7" spans="1:16" ht="13.5" thickBot="1">
      <c r="A7" s="134"/>
      <c r="B7" s="303"/>
      <c r="C7" s="303"/>
      <c r="D7" s="303"/>
      <c r="E7" s="109" t="s">
        <v>26</v>
      </c>
      <c r="F7" s="23" t="s">
        <v>27</v>
      </c>
      <c r="G7" s="23" t="s">
        <v>28</v>
      </c>
      <c r="H7" s="23" t="s">
        <v>29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26</v>
      </c>
      <c r="N7" s="23" t="s">
        <v>27</v>
      </c>
      <c r="O7" s="23" t="s">
        <v>28</v>
      </c>
      <c r="P7" s="23" t="s">
        <v>29</v>
      </c>
    </row>
    <row r="8" spans="1:16" ht="39" thickBot="1">
      <c r="A8" s="317" t="s">
        <v>135</v>
      </c>
      <c r="B8" s="110" t="s">
        <v>230</v>
      </c>
      <c r="C8" s="126"/>
      <c r="D8" s="135"/>
      <c r="E8" s="309">
        <f>E9+E10</f>
        <v>2420000</v>
      </c>
      <c r="F8" s="310"/>
      <c r="G8" s="310"/>
      <c r="H8" s="310"/>
      <c r="I8" s="309">
        <f>I9+I10</f>
        <v>3630000</v>
      </c>
      <c r="J8" s="310"/>
      <c r="K8" s="310"/>
      <c r="L8" s="310"/>
      <c r="M8" s="306">
        <f>M9+M10</f>
        <v>4840000</v>
      </c>
      <c r="N8" s="307"/>
      <c r="O8" s="307"/>
      <c r="P8" s="308"/>
    </row>
    <row r="9" spans="1:16" ht="27" customHeight="1" thickBot="1">
      <c r="A9" s="317"/>
      <c r="B9" s="120" t="s">
        <v>226</v>
      </c>
      <c r="C9" s="156">
        <v>130000</v>
      </c>
      <c r="D9" s="136">
        <v>1</v>
      </c>
      <c r="E9" s="306">
        <f>C9*E6</f>
        <v>1300000</v>
      </c>
      <c r="F9" s="304"/>
      <c r="G9" s="304"/>
      <c r="H9" s="305"/>
      <c r="I9" s="306">
        <f>C9*I6</f>
        <v>1950000</v>
      </c>
      <c r="J9" s="307"/>
      <c r="K9" s="307"/>
      <c r="L9" s="308"/>
      <c r="M9" s="306">
        <f>C9*M6</f>
        <v>2600000</v>
      </c>
      <c r="N9" s="307"/>
      <c r="O9" s="307"/>
      <c r="P9" s="308"/>
    </row>
    <row r="10" spans="1:16" ht="39" thickBot="1">
      <c r="A10" s="317"/>
      <c r="B10" s="120" t="s">
        <v>231</v>
      </c>
      <c r="C10" s="157">
        <v>80000</v>
      </c>
      <c r="D10" s="136">
        <v>1</v>
      </c>
      <c r="E10" s="306">
        <f>C10*E4</f>
        <v>1120000</v>
      </c>
      <c r="F10" s="304"/>
      <c r="G10" s="304"/>
      <c r="H10" s="305"/>
      <c r="I10" s="306">
        <f>C10*I4</f>
        <v>1680000</v>
      </c>
      <c r="J10" s="304"/>
      <c r="K10" s="304"/>
      <c r="L10" s="305"/>
      <c r="M10" s="306">
        <f>C10*M4</f>
        <v>2240000</v>
      </c>
      <c r="N10" s="304"/>
      <c r="O10" s="304"/>
      <c r="P10" s="305"/>
    </row>
    <row r="11" spans="2:16" ht="28.5" customHeight="1" thickBot="1">
      <c r="B11" s="111" t="s">
        <v>100</v>
      </c>
      <c r="C11" s="137"/>
      <c r="D11" s="138"/>
      <c r="E11" s="17">
        <f>E12</f>
        <v>1200000</v>
      </c>
      <c r="F11" s="17">
        <f aca="true" t="shared" si="0" ref="F11:P11">F12</f>
        <v>1200000</v>
      </c>
      <c r="G11" s="17">
        <f t="shared" si="0"/>
        <v>1200000</v>
      </c>
      <c r="H11" s="17">
        <f t="shared" si="0"/>
        <v>1200000</v>
      </c>
      <c r="I11" s="17">
        <f t="shared" si="0"/>
        <v>1800000</v>
      </c>
      <c r="J11" s="17">
        <f t="shared" si="0"/>
        <v>1800000</v>
      </c>
      <c r="K11" s="17">
        <f t="shared" si="0"/>
        <v>1800000</v>
      </c>
      <c r="L11" s="17">
        <f t="shared" si="0"/>
        <v>1800000</v>
      </c>
      <c r="M11" s="17">
        <f t="shared" si="0"/>
        <v>2400000</v>
      </c>
      <c r="N11" s="17">
        <f t="shared" si="0"/>
        <v>2400000</v>
      </c>
      <c r="O11" s="17">
        <f t="shared" si="0"/>
        <v>2400000</v>
      </c>
      <c r="P11" s="105">
        <f t="shared" si="0"/>
        <v>2400000</v>
      </c>
    </row>
    <row r="12" spans="1:16" ht="18.75" customHeight="1">
      <c r="A12" s="317" t="s">
        <v>137</v>
      </c>
      <c r="B12" s="315" t="s">
        <v>228</v>
      </c>
      <c r="C12" s="323">
        <v>24</v>
      </c>
      <c r="D12" s="287">
        <v>5000</v>
      </c>
      <c r="E12" s="279">
        <f>C12*D12*E6</f>
        <v>1200000</v>
      </c>
      <c r="F12" s="279">
        <f>C12*D12*E6</f>
        <v>1200000</v>
      </c>
      <c r="G12" s="279">
        <f>C12*D12*E6</f>
        <v>1200000</v>
      </c>
      <c r="H12" s="279">
        <f>C12*D12*E6</f>
        <v>1200000</v>
      </c>
      <c r="I12" s="279">
        <f>C12*D12*I6</f>
        <v>1800000</v>
      </c>
      <c r="J12" s="279">
        <f>C12*D12*I6</f>
        <v>1800000</v>
      </c>
      <c r="K12" s="279">
        <f>C12*D12*I6</f>
        <v>1800000</v>
      </c>
      <c r="L12" s="279">
        <f>C12*D12*I6</f>
        <v>1800000</v>
      </c>
      <c r="M12" s="279">
        <f>C12*D12*M6</f>
        <v>2400000</v>
      </c>
      <c r="N12" s="279">
        <f>C12*D12*M6</f>
        <v>2400000</v>
      </c>
      <c r="O12" s="279">
        <f>C12*D12*M6</f>
        <v>2400000</v>
      </c>
      <c r="P12" s="277">
        <f>C12*D12*M6</f>
        <v>2400000</v>
      </c>
    </row>
    <row r="13" spans="1:16" ht="15.75" customHeight="1" thickBot="1">
      <c r="A13" s="317"/>
      <c r="B13" s="316"/>
      <c r="C13" s="324"/>
      <c r="D13" s="288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78"/>
    </row>
    <row r="14" spans="2:16" ht="13.5" thickBot="1">
      <c r="B14" s="104" t="s">
        <v>101</v>
      </c>
      <c r="C14" s="139"/>
      <c r="D14" s="140"/>
      <c r="E14" s="9">
        <f>SUM(E15:E34)</f>
        <v>963650</v>
      </c>
      <c r="F14" s="9">
        <f aca="true" t="shared" si="1" ref="F14:P14">SUM(F15:F34)</f>
        <v>963650</v>
      </c>
      <c r="G14" s="9">
        <f t="shared" si="1"/>
        <v>963650</v>
      </c>
      <c r="H14" s="9">
        <f t="shared" si="1"/>
        <v>963650</v>
      </c>
      <c r="I14" s="9">
        <f t="shared" si="1"/>
        <v>1450475</v>
      </c>
      <c r="J14" s="9">
        <f t="shared" si="1"/>
        <v>1450475</v>
      </c>
      <c r="K14" s="9">
        <f t="shared" si="1"/>
        <v>1450475</v>
      </c>
      <c r="L14" s="9">
        <f t="shared" si="1"/>
        <v>1449425</v>
      </c>
      <c r="M14" s="9">
        <f t="shared" si="1"/>
        <v>1927300</v>
      </c>
      <c r="N14" s="9">
        <f t="shared" si="1"/>
        <v>1927300</v>
      </c>
      <c r="O14" s="9">
        <f t="shared" si="1"/>
        <v>1927300</v>
      </c>
      <c r="P14" s="9">
        <f t="shared" si="1"/>
        <v>1927300</v>
      </c>
    </row>
    <row r="15" spans="1:16" ht="18.75" customHeight="1">
      <c r="A15" s="318" t="s">
        <v>138</v>
      </c>
      <c r="B15" s="283" t="s">
        <v>323</v>
      </c>
      <c r="C15" s="285">
        <v>0.5</v>
      </c>
      <c r="D15" s="287">
        <v>1460</v>
      </c>
      <c r="E15" s="279">
        <f>C15*D15*E6</f>
        <v>7300</v>
      </c>
      <c r="F15" s="279">
        <f>C15*D15*E6</f>
        <v>7300</v>
      </c>
      <c r="G15" s="279">
        <f>C15*D15*E6</f>
        <v>7300</v>
      </c>
      <c r="H15" s="279">
        <f>C15*D15*E6</f>
        <v>7300</v>
      </c>
      <c r="I15" s="279">
        <f>C15*D15*I6</f>
        <v>10950</v>
      </c>
      <c r="J15" s="279">
        <f>C15*D15*I6</f>
        <v>10950</v>
      </c>
      <c r="K15" s="279">
        <f>C15*D15*I6</f>
        <v>10950</v>
      </c>
      <c r="L15" s="279">
        <f>C15*D15*I6</f>
        <v>10950</v>
      </c>
      <c r="M15" s="279">
        <f>C15*D15*M6</f>
        <v>14600</v>
      </c>
      <c r="N15" s="279">
        <f>C15*D15*M6</f>
        <v>14600</v>
      </c>
      <c r="O15" s="279">
        <f>C15*D15*M6</f>
        <v>14600</v>
      </c>
      <c r="P15" s="277">
        <f>C15*D15*M6</f>
        <v>14600</v>
      </c>
    </row>
    <row r="16" spans="1:16" ht="8.25" customHeight="1" thickBot="1">
      <c r="A16" s="318"/>
      <c r="B16" s="284"/>
      <c r="C16" s="286"/>
      <c r="D16" s="288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78"/>
    </row>
    <row r="17" spans="1:16" ht="18.75" customHeight="1">
      <c r="A17" s="318"/>
      <c r="B17" s="283" t="s">
        <v>253</v>
      </c>
      <c r="C17" s="285">
        <v>14</v>
      </c>
      <c r="D17" s="287">
        <v>1825</v>
      </c>
      <c r="E17" s="279">
        <f>C17*D17*E6</f>
        <v>255500</v>
      </c>
      <c r="F17" s="279">
        <f>C17*D17*E6</f>
        <v>255500</v>
      </c>
      <c r="G17" s="279">
        <f>C17*D17*E6</f>
        <v>255500</v>
      </c>
      <c r="H17" s="279">
        <f>C17*D17*E6</f>
        <v>255500</v>
      </c>
      <c r="I17" s="279">
        <f>C17*D17*I6</f>
        <v>383250</v>
      </c>
      <c r="J17" s="279">
        <f>C17*D17*I6</f>
        <v>383250</v>
      </c>
      <c r="K17" s="279">
        <f>C17*D17*I6</f>
        <v>383250</v>
      </c>
      <c r="L17" s="279">
        <f>C17*D17*I6</f>
        <v>383250</v>
      </c>
      <c r="M17" s="279">
        <f>C17*D17*M6</f>
        <v>511000</v>
      </c>
      <c r="N17" s="279">
        <f>C17*D17*M6</f>
        <v>511000</v>
      </c>
      <c r="O17" s="279">
        <f>C17*D17*M6</f>
        <v>511000</v>
      </c>
      <c r="P17" s="277">
        <f>C17*D17*M6</f>
        <v>511000</v>
      </c>
    </row>
    <row r="18" spans="1:16" ht="13.5" thickBot="1">
      <c r="A18" s="318"/>
      <c r="B18" s="284"/>
      <c r="C18" s="286"/>
      <c r="D18" s="288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78"/>
    </row>
    <row r="19" spans="1:16" ht="18.75" customHeight="1">
      <c r="A19" s="318"/>
      <c r="B19" s="283" t="s">
        <v>252</v>
      </c>
      <c r="C19" s="285">
        <v>3</v>
      </c>
      <c r="D19" s="287">
        <v>7300</v>
      </c>
      <c r="E19" s="279">
        <f>C19*D19*E6</f>
        <v>219000</v>
      </c>
      <c r="F19" s="279">
        <f>C19*D19*E6</f>
        <v>219000</v>
      </c>
      <c r="G19" s="279">
        <f>C19*D19*E6</f>
        <v>219000</v>
      </c>
      <c r="H19" s="279">
        <f>C19*D19*E6</f>
        <v>219000</v>
      </c>
      <c r="I19" s="279">
        <f>C19*D19*I6</f>
        <v>328500</v>
      </c>
      <c r="J19" s="279">
        <f>C19*D19*I6</f>
        <v>328500</v>
      </c>
      <c r="K19" s="279">
        <f>C19*D19*I6</f>
        <v>328500</v>
      </c>
      <c r="L19" s="279">
        <f>C19*D19*I6</f>
        <v>328500</v>
      </c>
      <c r="M19" s="279">
        <f>C19*D19*M6</f>
        <v>438000</v>
      </c>
      <c r="N19" s="279">
        <f>C19*D19*M6</f>
        <v>438000</v>
      </c>
      <c r="O19" s="279">
        <f>C19*D19*M6</f>
        <v>438000</v>
      </c>
      <c r="P19" s="277">
        <f>C19*D19*M6</f>
        <v>438000</v>
      </c>
    </row>
    <row r="20" spans="1:16" ht="13.5" thickBot="1">
      <c r="A20" s="318"/>
      <c r="B20" s="284"/>
      <c r="C20" s="286"/>
      <c r="D20" s="288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78"/>
    </row>
    <row r="21" spans="1:23" ht="18.75" customHeight="1">
      <c r="A21" s="318"/>
      <c r="B21" s="283" t="s">
        <v>251</v>
      </c>
      <c r="C21" s="285">
        <v>30</v>
      </c>
      <c r="D21" s="287">
        <v>365</v>
      </c>
      <c r="E21" s="279">
        <f>C21*D21*E6</f>
        <v>109500</v>
      </c>
      <c r="F21" s="279">
        <f>C21*D21*E6</f>
        <v>109500</v>
      </c>
      <c r="G21" s="279">
        <f>C21*D21*E6</f>
        <v>109500</v>
      </c>
      <c r="H21" s="279">
        <f>C21*D21*E6</f>
        <v>109500</v>
      </c>
      <c r="I21" s="279">
        <f>C21*D21*I6</f>
        <v>164250</v>
      </c>
      <c r="J21" s="279">
        <f>C21*D21*I6</f>
        <v>164250</v>
      </c>
      <c r="K21" s="279">
        <f>C21*D21*I6</f>
        <v>164250</v>
      </c>
      <c r="L21" s="279">
        <f>C21*D21*I6</f>
        <v>164250</v>
      </c>
      <c r="M21" s="279">
        <f>C21*D21*M6</f>
        <v>219000</v>
      </c>
      <c r="N21" s="279">
        <f>C21*D21*M6</f>
        <v>219000</v>
      </c>
      <c r="O21" s="279">
        <f>C21*D21*M6</f>
        <v>219000</v>
      </c>
      <c r="P21" s="277">
        <f>C21*D21*M6</f>
        <v>219000</v>
      </c>
      <c r="W21" s="141"/>
    </row>
    <row r="22" spans="1:16" ht="19.5" customHeight="1" thickBot="1">
      <c r="A22" s="318"/>
      <c r="B22" s="313"/>
      <c r="C22" s="294"/>
      <c r="D22" s="314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312"/>
    </row>
    <row r="23" spans="1:16" ht="19.5" customHeight="1">
      <c r="A23" s="318" t="s">
        <v>139</v>
      </c>
      <c r="B23" s="283" t="s">
        <v>324</v>
      </c>
      <c r="C23" s="292">
        <v>0.5</v>
      </c>
      <c r="D23" s="293">
        <v>3010</v>
      </c>
      <c r="E23" s="281">
        <f>C23*D23*(E4-E6)</f>
        <v>6020</v>
      </c>
      <c r="F23" s="281">
        <f>C23*D23*(E4-E6)</f>
        <v>6020</v>
      </c>
      <c r="G23" s="281">
        <f>C23*D23*(E4-E6)</f>
        <v>6020</v>
      </c>
      <c r="H23" s="281">
        <f>C23*D23*(E4-E6)</f>
        <v>6020</v>
      </c>
      <c r="I23" s="281">
        <f>C23*D23*(I4-I6)</f>
        <v>9030</v>
      </c>
      <c r="J23" s="281">
        <f>C23*D23*(I4-I6)</f>
        <v>9030</v>
      </c>
      <c r="K23" s="281">
        <f>C23*D23*(I4-I6)</f>
        <v>9030</v>
      </c>
      <c r="L23" s="281">
        <f>C23*D23*(I4-I6)</f>
        <v>9030</v>
      </c>
      <c r="M23" s="281">
        <f>C23*D23*(M4-M6)</f>
        <v>12040</v>
      </c>
      <c r="N23" s="281">
        <f>C23*D23*(M4-M6)</f>
        <v>12040</v>
      </c>
      <c r="O23" s="281">
        <f>C23*D23*(M4-M6)</f>
        <v>12040</v>
      </c>
      <c r="P23" s="282">
        <f>C23*D23*(M4-M6)</f>
        <v>12040</v>
      </c>
    </row>
    <row r="24" spans="1:16" ht="19.5" customHeight="1" thickBot="1">
      <c r="A24" s="318"/>
      <c r="B24" s="284"/>
      <c r="C24" s="296"/>
      <c r="D24" s="297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90"/>
    </row>
    <row r="25" spans="1:16" ht="19.5" customHeight="1">
      <c r="A25" s="318"/>
      <c r="B25" s="291" t="s">
        <v>255</v>
      </c>
      <c r="C25" s="292">
        <v>14</v>
      </c>
      <c r="D25" s="293">
        <v>547.5</v>
      </c>
      <c r="E25" s="281">
        <f>C25*D25*(E4-E6)</f>
        <v>30660</v>
      </c>
      <c r="F25" s="281">
        <f>C25*D25*(E4-E6)</f>
        <v>30660</v>
      </c>
      <c r="G25" s="281">
        <f>C25*D25*(E4-E6)</f>
        <v>30660</v>
      </c>
      <c r="H25" s="281">
        <f>C25*D25*(E4-E6)</f>
        <v>30660</v>
      </c>
      <c r="I25" s="281">
        <f>C25*D25*(I4-I6)</f>
        <v>45990</v>
      </c>
      <c r="J25" s="281">
        <f>C25*D25*(I4-I6)</f>
        <v>45990</v>
      </c>
      <c r="K25" s="281">
        <f>C25*D25*(I4-I6)</f>
        <v>45990</v>
      </c>
      <c r="L25" s="281">
        <f>C25*D25*(I4-I6)</f>
        <v>45990</v>
      </c>
      <c r="M25" s="281">
        <f>C25*D25*(M4-M6)</f>
        <v>61320</v>
      </c>
      <c r="N25" s="281">
        <f>C25*D25*(M4-M6)</f>
        <v>61320</v>
      </c>
      <c r="O25" s="281">
        <f>C25*D25*(M4-M6)</f>
        <v>61320</v>
      </c>
      <c r="P25" s="282">
        <f>C25*D25*(M4-M6)</f>
        <v>61320</v>
      </c>
    </row>
    <row r="26" spans="1:16" ht="19.5" customHeight="1" thickBot="1">
      <c r="A26" s="318"/>
      <c r="B26" s="284"/>
      <c r="C26" s="286"/>
      <c r="D26" s="288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78"/>
    </row>
    <row r="27" spans="1:16" ht="19.5" customHeight="1">
      <c r="A27" s="318"/>
      <c r="B27" s="283" t="s">
        <v>254</v>
      </c>
      <c r="C27" s="285">
        <v>3</v>
      </c>
      <c r="D27" s="287">
        <v>5475</v>
      </c>
      <c r="E27" s="279">
        <f>C27*D27*(E4-E6)</f>
        <v>65700</v>
      </c>
      <c r="F27" s="279">
        <f>C27*D27*(E4-E6)</f>
        <v>65700</v>
      </c>
      <c r="G27" s="279">
        <f>C27*D27*(E4-E6)</f>
        <v>65700</v>
      </c>
      <c r="H27" s="279">
        <f>C27*D27*(E4-E6)</f>
        <v>65700</v>
      </c>
      <c r="I27" s="279">
        <f>C27*D27*(I4-I6)</f>
        <v>98550</v>
      </c>
      <c r="J27" s="279">
        <f>C27*D27*(I4-I6)</f>
        <v>98550</v>
      </c>
      <c r="K27" s="279">
        <f>C27*D27*(I4-I6)</f>
        <v>98550</v>
      </c>
      <c r="L27" s="279">
        <f>C27*D27*(I4-I6)</f>
        <v>98550</v>
      </c>
      <c r="M27" s="279">
        <f>C27*D27*(M4-M6)</f>
        <v>131400</v>
      </c>
      <c r="N27" s="279">
        <f>C27*D27*(M4-M6)</f>
        <v>131400</v>
      </c>
      <c r="O27" s="279">
        <f>C27*D27*(M4-M6)</f>
        <v>131400</v>
      </c>
      <c r="P27" s="277">
        <f>C27*D27*(M4-M6)</f>
        <v>131400</v>
      </c>
    </row>
    <row r="28" spans="1:16" ht="19.5" customHeight="1" thickBot="1">
      <c r="A28" s="318"/>
      <c r="B28" s="284"/>
      <c r="C28" s="286"/>
      <c r="D28" s="288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78"/>
    </row>
    <row r="29" spans="1:16" ht="18.75" customHeight="1">
      <c r="A29" s="318"/>
      <c r="B29" s="283" t="s">
        <v>256</v>
      </c>
      <c r="C29" s="285">
        <v>30</v>
      </c>
      <c r="D29" s="287">
        <v>146</v>
      </c>
      <c r="E29" s="279">
        <f>C29*D29*(E4-E6)</f>
        <v>17520</v>
      </c>
      <c r="F29" s="279">
        <f>C29*D29*(E4-E6)</f>
        <v>17520</v>
      </c>
      <c r="G29" s="279">
        <f>C29*D29*(E4-E6)</f>
        <v>17520</v>
      </c>
      <c r="H29" s="279">
        <f>C29*D29*(E4-E6)</f>
        <v>17520</v>
      </c>
      <c r="I29" s="279">
        <f>C29*D29*(I4-I6)</f>
        <v>26280</v>
      </c>
      <c r="J29" s="279">
        <f>C29*D29*(I4-I6)</f>
        <v>26280</v>
      </c>
      <c r="K29" s="279">
        <f>C29*D29*(I4-I6)</f>
        <v>26280</v>
      </c>
      <c r="L29" s="279">
        <f>C29*D29*(I4-I6)</f>
        <v>26280</v>
      </c>
      <c r="M29" s="279">
        <f>C29*D29*(M4-M6)</f>
        <v>35040</v>
      </c>
      <c r="N29" s="279">
        <f>C29*D29*(M4-M6)</f>
        <v>35040</v>
      </c>
      <c r="O29" s="279">
        <f>C29*D29*(M4-M6)</f>
        <v>35040</v>
      </c>
      <c r="P29" s="277">
        <f>C29*D29*(M4-M6)</f>
        <v>35040</v>
      </c>
    </row>
    <row r="30" spans="1:16" ht="22.5" customHeight="1" thickBot="1">
      <c r="A30" s="318"/>
      <c r="B30" s="313"/>
      <c r="C30" s="286"/>
      <c r="D30" s="288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78"/>
    </row>
    <row r="31" spans="1:16" ht="23.25" customHeight="1" thickBot="1">
      <c r="A31" s="142" t="s">
        <v>140</v>
      </c>
      <c r="B31" s="165" t="s">
        <v>114</v>
      </c>
      <c r="C31" s="158">
        <v>7</v>
      </c>
      <c r="D31" s="159">
        <v>25</v>
      </c>
      <c r="E31" s="123">
        <f>C31*D31*E4</f>
        <v>2450</v>
      </c>
      <c r="F31" s="123">
        <f>C31*D31*E4</f>
        <v>2450</v>
      </c>
      <c r="G31" s="123">
        <f>C31*D31*E4</f>
        <v>2450</v>
      </c>
      <c r="H31" s="123">
        <f>C31*D31*E4</f>
        <v>2450</v>
      </c>
      <c r="I31" s="123">
        <f>C31*D31*I4</f>
        <v>3675</v>
      </c>
      <c r="J31" s="123">
        <f>C31*D31*I4</f>
        <v>3675</v>
      </c>
      <c r="K31" s="123">
        <f>C31*D31*I4</f>
        <v>3675</v>
      </c>
      <c r="L31" s="123">
        <f>C31*D31*I6</f>
        <v>2625</v>
      </c>
      <c r="M31" s="123">
        <f>C31*D31*M4</f>
        <v>4900</v>
      </c>
      <c r="N31" s="123">
        <f>C31*D31*M4</f>
        <v>4900</v>
      </c>
      <c r="O31" s="123">
        <f>C31*D31*M4</f>
        <v>4900</v>
      </c>
      <c r="P31" s="122">
        <f>C31*D31*M4</f>
        <v>4900</v>
      </c>
    </row>
    <row r="32" spans="1:16" ht="24.75" customHeight="1" thickBot="1">
      <c r="A32" s="143" t="s">
        <v>141</v>
      </c>
      <c r="B32" s="259" t="s">
        <v>115</v>
      </c>
      <c r="C32" s="160">
        <v>5000</v>
      </c>
      <c r="D32" s="161">
        <v>1</v>
      </c>
      <c r="E32" s="123">
        <f>C32*D32*E4</f>
        <v>70000</v>
      </c>
      <c r="F32" s="123">
        <f>C32*D32*E4</f>
        <v>70000</v>
      </c>
      <c r="G32" s="123">
        <f>C32*D32*E4</f>
        <v>70000</v>
      </c>
      <c r="H32" s="123">
        <f>C32*D32*E4</f>
        <v>70000</v>
      </c>
      <c r="I32" s="123">
        <f>C32*D32*I4</f>
        <v>105000</v>
      </c>
      <c r="J32" s="123">
        <f>C32*D32*I4</f>
        <v>105000</v>
      </c>
      <c r="K32" s="123">
        <f>C32*D32*I4</f>
        <v>105000</v>
      </c>
      <c r="L32" s="123">
        <f>C32*D32*I4</f>
        <v>105000</v>
      </c>
      <c r="M32" s="123">
        <f>C32*D32*M4</f>
        <v>140000</v>
      </c>
      <c r="N32" s="123">
        <f>C32*D32*M4</f>
        <v>140000</v>
      </c>
      <c r="O32" s="123">
        <f>C32*D32*M4</f>
        <v>140000</v>
      </c>
      <c r="P32" s="122">
        <f>C32*D32*M4</f>
        <v>140000</v>
      </c>
    </row>
    <row r="33" spans="1:16" ht="38.25" customHeight="1" thickBot="1">
      <c r="A33" s="143" t="s">
        <v>142</v>
      </c>
      <c r="B33" s="259" t="s">
        <v>327</v>
      </c>
      <c r="C33" s="263"/>
      <c r="D33" s="264"/>
      <c r="E33" s="256">
        <v>130000</v>
      </c>
      <c r="F33" s="256">
        <v>130000</v>
      </c>
      <c r="G33" s="256">
        <v>130000</v>
      </c>
      <c r="H33" s="256">
        <v>130000</v>
      </c>
      <c r="I33" s="256">
        <v>200000</v>
      </c>
      <c r="J33" s="256">
        <v>200000</v>
      </c>
      <c r="K33" s="256">
        <v>200000</v>
      </c>
      <c r="L33" s="256">
        <v>200000</v>
      </c>
      <c r="M33" s="256">
        <v>260000</v>
      </c>
      <c r="N33" s="256">
        <v>260000</v>
      </c>
      <c r="O33" s="256">
        <v>260000</v>
      </c>
      <c r="P33" s="256">
        <v>260000</v>
      </c>
    </row>
    <row r="34" spans="1:16" ht="41.25" customHeight="1" thickBot="1">
      <c r="A34" s="143" t="s">
        <v>145</v>
      </c>
      <c r="B34" s="259" t="s">
        <v>326</v>
      </c>
      <c r="C34" s="144"/>
      <c r="D34" s="145"/>
      <c r="E34" s="256">
        <v>50000</v>
      </c>
      <c r="F34" s="256">
        <v>50000</v>
      </c>
      <c r="G34" s="256">
        <v>50000</v>
      </c>
      <c r="H34" s="256">
        <v>50000</v>
      </c>
      <c r="I34" s="256">
        <v>75000</v>
      </c>
      <c r="J34" s="256">
        <v>75000</v>
      </c>
      <c r="K34" s="256">
        <v>75000</v>
      </c>
      <c r="L34" s="256">
        <v>75000</v>
      </c>
      <c r="M34" s="256">
        <v>100000</v>
      </c>
      <c r="N34" s="256">
        <v>100000</v>
      </c>
      <c r="O34" s="256">
        <v>100000</v>
      </c>
      <c r="P34" s="162">
        <v>100000</v>
      </c>
    </row>
    <row r="35" spans="2:16" ht="13.5" thickBot="1">
      <c r="B35" s="104" t="s">
        <v>102</v>
      </c>
      <c r="C35" s="139"/>
      <c r="D35" s="146">
        <v>0.06</v>
      </c>
      <c r="E35" s="9">
        <f>(E11-E14)*D35</f>
        <v>14181</v>
      </c>
      <c r="F35" s="9">
        <f>(F11-F14)*D35</f>
        <v>14181</v>
      </c>
      <c r="G35" s="9">
        <f>(G11-G14)*D35</f>
        <v>14181</v>
      </c>
      <c r="H35" s="9">
        <f>(H11-H14)*D35</f>
        <v>14181</v>
      </c>
      <c r="I35" s="9">
        <f>(I11-I14)*D35</f>
        <v>20971.5</v>
      </c>
      <c r="J35" s="9">
        <f>(J11-J14)*D35</f>
        <v>20971.5</v>
      </c>
      <c r="K35" s="9">
        <f>(K11-K14)*D35</f>
        <v>20971.5</v>
      </c>
      <c r="L35" s="9">
        <f>(L11-L14)*D35</f>
        <v>21034.5</v>
      </c>
      <c r="M35" s="9">
        <f>(M11-M14)*D35</f>
        <v>28362</v>
      </c>
      <c r="N35" s="9">
        <f>(N11-N14)*D35</f>
        <v>28362</v>
      </c>
      <c r="O35" s="9">
        <f>(O11-O14)*D35</f>
        <v>28362</v>
      </c>
      <c r="P35" s="106">
        <f>(P11-P14)*D35</f>
        <v>28362</v>
      </c>
    </row>
    <row r="36" spans="1:16" ht="13.5" thickBot="1">
      <c r="A36" s="143" t="s">
        <v>147</v>
      </c>
      <c r="B36" s="19" t="s">
        <v>103</v>
      </c>
      <c r="C36" s="20"/>
      <c r="D36" s="20"/>
      <c r="E36" s="21">
        <f>E11-E14-E35</f>
        <v>222169</v>
      </c>
      <c r="F36" s="21">
        <f aca="true" t="shared" si="2" ref="F36:P36">F11-F14-F35</f>
        <v>222169</v>
      </c>
      <c r="G36" s="21">
        <f t="shared" si="2"/>
        <v>222169</v>
      </c>
      <c r="H36" s="21">
        <f t="shared" si="2"/>
        <v>222169</v>
      </c>
      <c r="I36" s="21">
        <f t="shared" si="2"/>
        <v>328553.5</v>
      </c>
      <c r="J36" s="21">
        <f t="shared" si="2"/>
        <v>328553.5</v>
      </c>
      <c r="K36" s="21">
        <f t="shared" si="2"/>
        <v>328553.5</v>
      </c>
      <c r="L36" s="21">
        <f t="shared" si="2"/>
        <v>329540.5</v>
      </c>
      <c r="M36" s="21">
        <f t="shared" si="2"/>
        <v>444338</v>
      </c>
      <c r="N36" s="21">
        <f t="shared" si="2"/>
        <v>444338</v>
      </c>
      <c r="O36" s="21">
        <f t="shared" si="2"/>
        <v>444338</v>
      </c>
      <c r="P36" s="21">
        <f t="shared" si="2"/>
        <v>444338</v>
      </c>
    </row>
    <row r="37" spans="1:16" ht="26.25" thickBot="1">
      <c r="A37" s="143" t="s">
        <v>148</v>
      </c>
      <c r="B37" s="104" t="s">
        <v>116</v>
      </c>
      <c r="C37" s="139"/>
      <c r="D37" s="25">
        <v>0.1</v>
      </c>
      <c r="E37" s="18">
        <f>E8*D37</f>
        <v>242000</v>
      </c>
      <c r="F37" s="10"/>
      <c r="G37" s="10"/>
      <c r="H37" s="10"/>
      <c r="I37" s="18">
        <f>I8*D37</f>
        <v>363000</v>
      </c>
      <c r="J37" s="10"/>
      <c r="K37" s="10"/>
      <c r="L37" s="10"/>
      <c r="M37" s="18">
        <f>M8*D37</f>
        <v>484000</v>
      </c>
      <c r="N37" s="10"/>
      <c r="O37" s="10"/>
      <c r="P37" s="107"/>
    </row>
    <row r="38" spans="2:16" ht="26.25" thickBot="1">
      <c r="B38" s="104" t="s">
        <v>117</v>
      </c>
      <c r="C38" s="139"/>
      <c r="D38" s="147"/>
      <c r="E38" s="18">
        <f>E8-E37</f>
        <v>2178000</v>
      </c>
      <c r="F38" s="10"/>
      <c r="G38" s="10"/>
      <c r="H38" s="10"/>
      <c r="I38" s="18">
        <f>I8-I37</f>
        <v>3267000</v>
      </c>
      <c r="J38" s="10"/>
      <c r="K38" s="10"/>
      <c r="L38" s="10"/>
      <c r="M38" s="18">
        <f>M8-M37</f>
        <v>4356000</v>
      </c>
      <c r="N38" s="10"/>
      <c r="O38" s="10"/>
      <c r="P38" s="107"/>
    </row>
    <row r="39" spans="1:16" ht="39" thickBot="1">
      <c r="A39" s="143" t="s">
        <v>149</v>
      </c>
      <c r="B39" s="104" t="s">
        <v>118</v>
      </c>
      <c r="C39" s="148"/>
      <c r="D39" s="163">
        <v>200000</v>
      </c>
      <c r="E39" s="18">
        <f>D39</f>
        <v>200000</v>
      </c>
      <c r="F39" s="10"/>
      <c r="G39" s="10"/>
      <c r="H39" s="10"/>
      <c r="I39" s="18">
        <f>D39</f>
        <v>200000</v>
      </c>
      <c r="J39" s="10"/>
      <c r="K39" s="10"/>
      <c r="L39" s="10"/>
      <c r="M39" s="18">
        <f>D39</f>
        <v>200000</v>
      </c>
      <c r="N39" s="10"/>
      <c r="O39" s="10"/>
      <c r="P39" s="107"/>
    </row>
    <row r="40" spans="1:16" ht="39" thickBot="1">
      <c r="A40" s="143"/>
      <c r="B40" s="149" t="s">
        <v>122</v>
      </c>
      <c r="C40" s="150"/>
      <c r="D40" s="151"/>
      <c r="E40" s="11">
        <f>(E39/3)+(E39*5%)</f>
        <v>76666.66666666667</v>
      </c>
      <c r="F40" s="11">
        <f>(E39/3)+(E39-(E39/3))*5%</f>
        <v>73333.33333333334</v>
      </c>
      <c r="G40" s="11">
        <f>(E39/3)+(E39-(E39*0.67))*5%</f>
        <v>69966.66666666667</v>
      </c>
      <c r="H40" s="11"/>
      <c r="I40" s="11">
        <f>(I39/3)+(I39*5%)</f>
        <v>76666.66666666667</v>
      </c>
      <c r="J40" s="11">
        <f>(I39/3)+(I39-(I39/3))*5%</f>
        <v>73333.33333333334</v>
      </c>
      <c r="K40" s="11">
        <f>(I39/3)+(I39-(I39*0.67))*5%</f>
        <v>69966.66666666667</v>
      </c>
      <c r="L40" s="11"/>
      <c r="M40" s="11">
        <f>(M39/3)+(M39*5%)</f>
        <v>76666.66666666667</v>
      </c>
      <c r="N40" s="11">
        <f>(M39/3)+(M39-(M39/3))*5%</f>
        <v>73333.33333333334</v>
      </c>
      <c r="O40" s="11">
        <f>(M39/3)+(M39-(M39*0.67))*5%</f>
        <v>69966.66666666667</v>
      </c>
      <c r="P40" s="108"/>
    </row>
    <row r="41" spans="1:16" ht="13.5" thickBot="1">
      <c r="A41" s="143" t="s">
        <v>325</v>
      </c>
      <c r="B41" s="152" t="s">
        <v>105</v>
      </c>
      <c r="C41" s="153"/>
      <c r="D41" s="153"/>
      <c r="E41" s="21">
        <f>E36-E40</f>
        <v>145502.3333333333</v>
      </c>
      <c r="F41" s="21">
        <f>F36-F40</f>
        <v>148835.66666666666</v>
      </c>
      <c r="G41" s="21">
        <f>G36-G40</f>
        <v>152202.3333333333</v>
      </c>
      <c r="H41" s="21">
        <f>H36-H40</f>
        <v>222169</v>
      </c>
      <c r="I41" s="21">
        <f>I36-I40</f>
        <v>251886.8333333333</v>
      </c>
      <c r="J41" s="21">
        <f aca="true" t="shared" si="3" ref="J41:P41">J36-J40</f>
        <v>255220.16666666666</v>
      </c>
      <c r="K41" s="21">
        <f t="shared" si="3"/>
        <v>258586.8333333333</v>
      </c>
      <c r="L41" s="21">
        <f t="shared" si="3"/>
        <v>329540.5</v>
      </c>
      <c r="M41" s="21">
        <f t="shared" si="3"/>
        <v>367671.3333333333</v>
      </c>
      <c r="N41" s="21">
        <f t="shared" si="3"/>
        <v>371004.6666666666</v>
      </c>
      <c r="O41" s="21">
        <f t="shared" si="3"/>
        <v>374371.3333333333</v>
      </c>
      <c r="P41" s="21">
        <f t="shared" si="3"/>
        <v>444338</v>
      </c>
    </row>
    <row r="44" spans="1:4" ht="15.75">
      <c r="A44" s="101"/>
      <c r="B44" s="311" t="s">
        <v>121</v>
      </c>
      <c r="C44" s="311"/>
      <c r="D44" s="311"/>
    </row>
    <row r="45" ht="12.75">
      <c r="F45" s="154"/>
    </row>
  </sheetData>
  <sheetProtection password="CBA5" sheet="1"/>
  <mergeCells count="161">
    <mergeCell ref="A8:A10"/>
    <mergeCell ref="A15:A22"/>
    <mergeCell ref="A23:A30"/>
    <mergeCell ref="B1:P2"/>
    <mergeCell ref="E5:P5"/>
    <mergeCell ref="E6:H6"/>
    <mergeCell ref="I6:L6"/>
    <mergeCell ref="M6:P6"/>
    <mergeCell ref="H12:H13"/>
    <mergeCell ref="C12:C13"/>
    <mergeCell ref="D12:D13"/>
    <mergeCell ref="E12:E13"/>
    <mergeCell ref="F12:F13"/>
    <mergeCell ref="B12:B13"/>
    <mergeCell ref="B21:B22"/>
    <mergeCell ref="A12:A13"/>
    <mergeCell ref="B19:B20"/>
    <mergeCell ref="C19:C20"/>
    <mergeCell ref="D19:D20"/>
    <mergeCell ref="E19:E20"/>
    <mergeCell ref="G12:G13"/>
    <mergeCell ref="I12:I13"/>
    <mergeCell ref="J12:J13"/>
    <mergeCell ref="K12:K13"/>
    <mergeCell ref="L12:L13"/>
    <mergeCell ref="M12:M13"/>
    <mergeCell ref="N12:N13"/>
    <mergeCell ref="O12:O13"/>
    <mergeCell ref="P12:P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B17:B18"/>
    <mergeCell ref="C17:C18"/>
    <mergeCell ref="D17:D18"/>
    <mergeCell ref="E17:E18"/>
    <mergeCell ref="F17:F18"/>
    <mergeCell ref="G17:G18"/>
    <mergeCell ref="H17:H18"/>
    <mergeCell ref="I17:I18"/>
    <mergeCell ref="N19:N20"/>
    <mergeCell ref="O19:O20"/>
    <mergeCell ref="J19:J20"/>
    <mergeCell ref="J17:J18"/>
    <mergeCell ref="K17:K18"/>
    <mergeCell ref="L17:L18"/>
    <mergeCell ref="M17:M18"/>
    <mergeCell ref="N17:N18"/>
    <mergeCell ref="O17:O18"/>
    <mergeCell ref="H19:H20"/>
    <mergeCell ref="I19:I20"/>
    <mergeCell ref="F19:F20"/>
    <mergeCell ref="G19:G20"/>
    <mergeCell ref="L19:L20"/>
    <mergeCell ref="M19:M20"/>
    <mergeCell ref="M21:M22"/>
    <mergeCell ref="N21:N22"/>
    <mergeCell ref="P19:P20"/>
    <mergeCell ref="P17:P18"/>
    <mergeCell ref="D21:D22"/>
    <mergeCell ref="E21:E22"/>
    <mergeCell ref="F21:F22"/>
    <mergeCell ref="G21:G22"/>
    <mergeCell ref="H21:H22"/>
    <mergeCell ref="K19:K20"/>
    <mergeCell ref="O21:O22"/>
    <mergeCell ref="P21:P22"/>
    <mergeCell ref="B29:B30"/>
    <mergeCell ref="C29:C30"/>
    <mergeCell ref="D29:D30"/>
    <mergeCell ref="E29:E30"/>
    <mergeCell ref="F29:F30"/>
    <mergeCell ref="G29:G30"/>
    <mergeCell ref="H29:H30"/>
    <mergeCell ref="G23:G24"/>
    <mergeCell ref="I29:I30"/>
    <mergeCell ref="B44:D44"/>
    <mergeCell ref="P29:P30"/>
    <mergeCell ref="J29:J30"/>
    <mergeCell ref="K29:K30"/>
    <mergeCell ref="L29:L30"/>
    <mergeCell ref="M29:M30"/>
    <mergeCell ref="N29:N30"/>
    <mergeCell ref="O29:O30"/>
    <mergeCell ref="I9:L9"/>
    <mergeCell ref="M9:P9"/>
    <mergeCell ref="I10:L10"/>
    <mergeCell ref="M10:P10"/>
    <mergeCell ref="E8:H8"/>
    <mergeCell ref="I8:L8"/>
    <mergeCell ref="M8:P8"/>
    <mergeCell ref="E9:H9"/>
    <mergeCell ref="E10:H10"/>
    <mergeCell ref="I4:L4"/>
    <mergeCell ref="M4:P4"/>
    <mergeCell ref="B3:B7"/>
    <mergeCell ref="C3:C7"/>
    <mergeCell ref="E3:P3"/>
    <mergeCell ref="E4:H4"/>
    <mergeCell ref="D5:D7"/>
    <mergeCell ref="B23:B24"/>
    <mergeCell ref="C23:C24"/>
    <mergeCell ref="D23:D24"/>
    <mergeCell ref="E23:E24"/>
    <mergeCell ref="F23:F24"/>
    <mergeCell ref="H23:H24"/>
    <mergeCell ref="C21:C22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N23:N24"/>
    <mergeCell ref="O23:O24"/>
    <mergeCell ref="P23:P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B27:B28"/>
    <mergeCell ref="C27:C28"/>
    <mergeCell ref="D27:D28"/>
    <mergeCell ref="E27:E28"/>
    <mergeCell ref="F27:F28"/>
    <mergeCell ref="G27:G28"/>
    <mergeCell ref="H27:H28"/>
    <mergeCell ref="O27:O28"/>
    <mergeCell ref="P27:P28"/>
    <mergeCell ref="I27:I28"/>
    <mergeCell ref="J27:J28"/>
    <mergeCell ref="K27:K28"/>
    <mergeCell ref="L27:L28"/>
    <mergeCell ref="M27:M28"/>
    <mergeCell ref="N27:N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5"/>
  <sheetViews>
    <sheetView zoomScalePageLayoutView="0" workbookViewId="0" topLeftCell="A25">
      <selection activeCell="D37" sqref="D37"/>
    </sheetView>
  </sheetViews>
  <sheetFormatPr defaultColWidth="9.140625" defaultRowHeight="12.75"/>
  <cols>
    <col min="1" max="1" width="9.140625" style="132" customWidth="1"/>
    <col min="2" max="2" width="37.28125" style="132" customWidth="1"/>
    <col min="3" max="3" width="15.28125" style="132" customWidth="1"/>
    <col min="4" max="4" width="15.8515625" style="132" bestFit="1" customWidth="1"/>
    <col min="5" max="5" width="16.28125" style="132" bestFit="1" customWidth="1"/>
    <col min="6" max="6" width="16.140625" style="132" customWidth="1"/>
    <col min="7" max="7" width="16.28125" style="132" bestFit="1" customWidth="1"/>
    <col min="8" max="9" width="15.8515625" style="132" customWidth="1"/>
    <col min="10" max="10" width="15.7109375" style="132" customWidth="1"/>
    <col min="11" max="13" width="16.28125" style="132" bestFit="1" customWidth="1"/>
    <col min="14" max="14" width="16.28125" style="132" customWidth="1"/>
    <col min="15" max="18" width="16.28125" style="132" bestFit="1" customWidth="1"/>
    <col min="19" max="16384" width="9.140625" style="132" customWidth="1"/>
  </cols>
  <sheetData>
    <row r="1" spans="2:18" ht="12.75">
      <c r="B1" s="319" t="s">
        <v>113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2:18" ht="49.5" customHeight="1" thickBot="1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2:18" ht="27.75" customHeight="1" thickBot="1">
      <c r="B3" s="301" t="s">
        <v>107</v>
      </c>
      <c r="C3" s="301" t="s">
        <v>136</v>
      </c>
      <c r="D3" s="133" t="s">
        <v>250</v>
      </c>
      <c r="E3" s="304" t="s">
        <v>229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</row>
    <row r="4" spans="1:18" ht="49.5" customHeight="1" thickBot="1">
      <c r="A4" s="317" t="s">
        <v>150</v>
      </c>
      <c r="B4" s="302"/>
      <c r="C4" s="302"/>
      <c r="D4" s="155">
        <v>0.4</v>
      </c>
      <c r="E4" s="298">
        <f>E6+(E6*D4)</f>
        <v>14</v>
      </c>
      <c r="F4" s="299"/>
      <c r="G4" s="299"/>
      <c r="H4" s="300"/>
      <c r="I4" s="164"/>
      <c r="J4" s="298">
        <f>J6+(J6*D4)</f>
        <v>21</v>
      </c>
      <c r="K4" s="299"/>
      <c r="L4" s="299"/>
      <c r="M4" s="300"/>
      <c r="N4" s="164"/>
      <c r="O4" s="298">
        <f>O6+(O6*D4)</f>
        <v>28</v>
      </c>
      <c r="P4" s="299"/>
      <c r="Q4" s="299"/>
      <c r="R4" s="300"/>
    </row>
    <row r="5" spans="1:18" ht="30" customHeight="1" thickBot="1">
      <c r="A5" s="317"/>
      <c r="B5" s="302"/>
      <c r="C5" s="302"/>
      <c r="D5" s="302" t="s">
        <v>227</v>
      </c>
      <c r="E5" s="304" t="s">
        <v>225</v>
      </c>
      <c r="F5" s="304"/>
      <c r="G5" s="304"/>
      <c r="H5" s="304"/>
      <c r="I5" s="344"/>
      <c r="J5" s="304"/>
      <c r="K5" s="304"/>
      <c r="L5" s="304"/>
      <c r="M5" s="304"/>
      <c r="N5" s="344"/>
      <c r="O5" s="304"/>
      <c r="P5" s="304"/>
      <c r="Q5" s="304"/>
      <c r="R5" s="305"/>
    </row>
    <row r="6" spans="1:18" ht="41.25" customHeight="1" thickBot="1">
      <c r="A6" s="317"/>
      <c r="B6" s="302"/>
      <c r="C6" s="302"/>
      <c r="D6" s="302"/>
      <c r="E6" s="320">
        <v>10</v>
      </c>
      <c r="F6" s="320"/>
      <c r="G6" s="320"/>
      <c r="H6" s="320"/>
      <c r="I6" s="301" t="s">
        <v>257</v>
      </c>
      <c r="J6" s="320">
        <v>15</v>
      </c>
      <c r="K6" s="320"/>
      <c r="L6" s="320"/>
      <c r="M6" s="320"/>
      <c r="N6" s="301" t="s">
        <v>257</v>
      </c>
      <c r="O6" s="320">
        <v>20</v>
      </c>
      <c r="P6" s="320"/>
      <c r="Q6" s="320"/>
      <c r="R6" s="322"/>
    </row>
    <row r="7" spans="1:18" ht="13.5" thickBot="1">
      <c r="A7" s="317"/>
      <c r="B7" s="303"/>
      <c r="C7" s="303"/>
      <c r="D7" s="303"/>
      <c r="E7" s="109" t="s">
        <v>26</v>
      </c>
      <c r="F7" s="23" t="s">
        <v>27</v>
      </c>
      <c r="G7" s="23" t="s">
        <v>28</v>
      </c>
      <c r="H7" s="120" t="s">
        <v>29</v>
      </c>
      <c r="I7" s="303"/>
      <c r="J7" s="109" t="s">
        <v>26</v>
      </c>
      <c r="K7" s="23" t="s">
        <v>27</v>
      </c>
      <c r="L7" s="23" t="s">
        <v>28</v>
      </c>
      <c r="M7" s="120" t="s">
        <v>29</v>
      </c>
      <c r="N7" s="302"/>
      <c r="O7" s="109" t="s">
        <v>26</v>
      </c>
      <c r="P7" s="23" t="s">
        <v>27</v>
      </c>
      <c r="Q7" s="23" t="s">
        <v>28</v>
      </c>
      <c r="R7" s="23" t="s">
        <v>29</v>
      </c>
    </row>
    <row r="8" spans="1:18" ht="39" thickBot="1">
      <c r="A8" s="335" t="s">
        <v>151</v>
      </c>
      <c r="B8" s="110" t="s">
        <v>230</v>
      </c>
      <c r="C8" s="126"/>
      <c r="D8" s="135"/>
      <c r="E8" s="309">
        <f>E9+E10</f>
        <v>2420000</v>
      </c>
      <c r="F8" s="310"/>
      <c r="G8" s="310"/>
      <c r="H8" s="310"/>
      <c r="I8" s="347"/>
      <c r="J8" s="310">
        <f>J9+J10</f>
        <v>3630000</v>
      </c>
      <c r="K8" s="310"/>
      <c r="L8" s="310"/>
      <c r="M8" s="310"/>
      <c r="N8" s="347"/>
      <c r="O8" s="307">
        <f>O9+O10</f>
        <v>4840000</v>
      </c>
      <c r="P8" s="307"/>
      <c r="Q8" s="307"/>
      <c r="R8" s="308"/>
    </row>
    <row r="9" spans="1:18" ht="27" customHeight="1" thickBot="1">
      <c r="A9" s="335"/>
      <c r="B9" s="120" t="s">
        <v>226</v>
      </c>
      <c r="C9" s="156">
        <v>130000</v>
      </c>
      <c r="D9" s="136">
        <v>1</v>
      </c>
      <c r="E9" s="306">
        <f>C9*E6</f>
        <v>1300000</v>
      </c>
      <c r="F9" s="304"/>
      <c r="G9" s="304"/>
      <c r="H9" s="304"/>
      <c r="I9" s="348"/>
      <c r="J9" s="307">
        <f>C9*J6</f>
        <v>1950000</v>
      </c>
      <c r="K9" s="307"/>
      <c r="L9" s="307"/>
      <c r="M9" s="307"/>
      <c r="N9" s="348"/>
      <c r="O9" s="307">
        <f>C9*O6</f>
        <v>2600000</v>
      </c>
      <c r="P9" s="307"/>
      <c r="Q9" s="307"/>
      <c r="R9" s="308"/>
    </row>
    <row r="10" spans="1:18" ht="39" thickBot="1">
      <c r="A10" s="335"/>
      <c r="B10" s="120" t="s">
        <v>231</v>
      </c>
      <c r="C10" s="157">
        <v>80000</v>
      </c>
      <c r="D10" s="136">
        <v>1</v>
      </c>
      <c r="E10" s="306">
        <f>C10*E4</f>
        <v>1120000</v>
      </c>
      <c r="F10" s="304"/>
      <c r="G10" s="304"/>
      <c r="H10" s="304"/>
      <c r="I10" s="348"/>
      <c r="J10" s="307">
        <f>C10*J4</f>
        <v>1680000</v>
      </c>
      <c r="K10" s="304"/>
      <c r="L10" s="304"/>
      <c r="M10" s="304"/>
      <c r="N10" s="348"/>
      <c r="O10" s="307">
        <f>C10*O4</f>
        <v>2240000</v>
      </c>
      <c r="P10" s="304"/>
      <c r="Q10" s="304"/>
      <c r="R10" s="305"/>
    </row>
    <row r="11" spans="2:18" ht="28.5" customHeight="1" thickBot="1">
      <c r="B11" s="111" t="s">
        <v>100</v>
      </c>
      <c r="C11" s="137"/>
      <c r="D11" s="138"/>
      <c r="E11" s="17">
        <f>E12</f>
        <v>1350000</v>
      </c>
      <c r="F11" s="17">
        <f aca="true" t="shared" si="0" ref="F11:R11">F12</f>
        <v>1350000</v>
      </c>
      <c r="G11" s="17">
        <f t="shared" si="0"/>
        <v>1350000</v>
      </c>
      <c r="H11" s="116">
        <f t="shared" si="0"/>
        <v>1350000</v>
      </c>
      <c r="I11" s="348"/>
      <c r="J11" s="118">
        <f t="shared" si="0"/>
        <v>2212500</v>
      </c>
      <c r="K11" s="17">
        <f t="shared" si="0"/>
        <v>2212500</v>
      </c>
      <c r="L11" s="17">
        <f t="shared" si="0"/>
        <v>2212500</v>
      </c>
      <c r="M11" s="116">
        <f t="shared" si="0"/>
        <v>2212500</v>
      </c>
      <c r="N11" s="348"/>
      <c r="O11" s="118">
        <f t="shared" si="0"/>
        <v>3090000</v>
      </c>
      <c r="P11" s="17">
        <f t="shared" si="0"/>
        <v>3090000</v>
      </c>
      <c r="Q11" s="17">
        <f t="shared" si="0"/>
        <v>3090000</v>
      </c>
      <c r="R11" s="105">
        <f t="shared" si="0"/>
        <v>3090000</v>
      </c>
    </row>
    <row r="12" spans="1:18" ht="18.75" customHeight="1">
      <c r="A12" s="317" t="s">
        <v>152</v>
      </c>
      <c r="B12" s="315" t="s">
        <v>228</v>
      </c>
      <c r="C12" s="336">
        <f>'Финансовый план СХК'!C18</f>
        <v>27</v>
      </c>
      <c r="D12" s="345">
        <v>5000</v>
      </c>
      <c r="E12" s="279">
        <f>C12*D12*E6</f>
        <v>1350000</v>
      </c>
      <c r="F12" s="279">
        <f>C12*D12*E6</f>
        <v>1350000</v>
      </c>
      <c r="G12" s="279">
        <f>C12*D12*E6</f>
        <v>1350000</v>
      </c>
      <c r="H12" s="325">
        <f>C12*D12*E6</f>
        <v>1350000</v>
      </c>
      <c r="I12" s="329">
        <f>'Финансовый план СХК'!K18</f>
        <v>29.5</v>
      </c>
      <c r="J12" s="327">
        <f>I12*D12*J6</f>
        <v>2212500</v>
      </c>
      <c r="K12" s="279">
        <f>I12*D12*J6</f>
        <v>2212500</v>
      </c>
      <c r="L12" s="279">
        <f>I12*D12*J6</f>
        <v>2212500</v>
      </c>
      <c r="M12" s="325">
        <f>I12*D12*J6</f>
        <v>2212500</v>
      </c>
      <c r="N12" s="332">
        <f>'Финансовый план СХК'!O18</f>
        <v>30.9</v>
      </c>
      <c r="O12" s="327">
        <f>N12*D12*O6</f>
        <v>3090000</v>
      </c>
      <c r="P12" s="279">
        <f>N12*D12*O6</f>
        <v>3090000</v>
      </c>
      <c r="Q12" s="279">
        <f>N12*D12*O6</f>
        <v>3090000</v>
      </c>
      <c r="R12" s="277">
        <f>N12*D12*O6</f>
        <v>3090000</v>
      </c>
    </row>
    <row r="13" spans="1:18" ht="15.75" customHeight="1" thickBot="1">
      <c r="A13" s="317"/>
      <c r="B13" s="316"/>
      <c r="C13" s="337"/>
      <c r="D13" s="346"/>
      <c r="E13" s="280"/>
      <c r="F13" s="280"/>
      <c r="G13" s="280"/>
      <c r="H13" s="326"/>
      <c r="I13" s="330"/>
      <c r="J13" s="328"/>
      <c r="K13" s="280"/>
      <c r="L13" s="280"/>
      <c r="M13" s="326"/>
      <c r="N13" s="333"/>
      <c r="O13" s="328"/>
      <c r="P13" s="280"/>
      <c r="Q13" s="280"/>
      <c r="R13" s="278"/>
    </row>
    <row r="14" spans="2:18" ht="13.5" thickBot="1">
      <c r="B14" s="104" t="s">
        <v>101</v>
      </c>
      <c r="C14" s="139"/>
      <c r="D14" s="140"/>
      <c r="E14" s="9">
        <f>SUM(E15:E34)</f>
        <v>963650</v>
      </c>
      <c r="F14" s="9">
        <f aca="true" t="shared" si="1" ref="F14:R14">SUM(F15:F34)</f>
        <v>963650</v>
      </c>
      <c r="G14" s="9">
        <f t="shared" si="1"/>
        <v>963650</v>
      </c>
      <c r="H14" s="117">
        <f t="shared" si="1"/>
        <v>963650</v>
      </c>
      <c r="I14" s="330"/>
      <c r="J14" s="119">
        <f t="shared" si="1"/>
        <v>1450475</v>
      </c>
      <c r="K14" s="9">
        <f t="shared" si="1"/>
        <v>1450475</v>
      </c>
      <c r="L14" s="9">
        <f t="shared" si="1"/>
        <v>1450475</v>
      </c>
      <c r="M14" s="117">
        <f t="shared" si="1"/>
        <v>1449425</v>
      </c>
      <c r="N14" s="333"/>
      <c r="O14" s="119">
        <f t="shared" si="1"/>
        <v>1927300</v>
      </c>
      <c r="P14" s="9">
        <f t="shared" si="1"/>
        <v>1927300</v>
      </c>
      <c r="Q14" s="9">
        <f t="shared" si="1"/>
        <v>1927300</v>
      </c>
      <c r="R14" s="9">
        <f t="shared" si="1"/>
        <v>1927300</v>
      </c>
    </row>
    <row r="15" spans="1:18" ht="18.75" customHeight="1">
      <c r="A15" s="318" t="s">
        <v>153</v>
      </c>
      <c r="B15" s="283" t="s">
        <v>323</v>
      </c>
      <c r="C15" s="285">
        <v>0.5</v>
      </c>
      <c r="D15" s="287">
        <v>1460</v>
      </c>
      <c r="E15" s="279">
        <f>C15*D15*E6</f>
        <v>7300</v>
      </c>
      <c r="F15" s="279">
        <f>C15*D15*E6</f>
        <v>7300</v>
      </c>
      <c r="G15" s="279">
        <f>C15*D15*E6</f>
        <v>7300</v>
      </c>
      <c r="H15" s="325">
        <f>C15*D15*E6</f>
        <v>7300</v>
      </c>
      <c r="I15" s="330"/>
      <c r="J15" s="327">
        <f>C15*D15*J6</f>
        <v>10950</v>
      </c>
      <c r="K15" s="279">
        <f>C15*D15*J6</f>
        <v>10950</v>
      </c>
      <c r="L15" s="279">
        <f>C15*D15*J6</f>
        <v>10950</v>
      </c>
      <c r="M15" s="325">
        <f>C15*D15*J6</f>
        <v>10950</v>
      </c>
      <c r="N15" s="333"/>
      <c r="O15" s="327">
        <f>C15*D15*O6</f>
        <v>14600</v>
      </c>
      <c r="P15" s="279">
        <f>C15*D15*O6</f>
        <v>14600</v>
      </c>
      <c r="Q15" s="279">
        <f>C15*D15*O6</f>
        <v>14600</v>
      </c>
      <c r="R15" s="277">
        <f>C15*D15*O6</f>
        <v>14600</v>
      </c>
    </row>
    <row r="16" spans="1:18" ht="8.25" customHeight="1" thickBot="1">
      <c r="A16" s="318"/>
      <c r="B16" s="284"/>
      <c r="C16" s="286"/>
      <c r="D16" s="288"/>
      <c r="E16" s="280"/>
      <c r="F16" s="280"/>
      <c r="G16" s="280"/>
      <c r="H16" s="326"/>
      <c r="I16" s="330"/>
      <c r="J16" s="328"/>
      <c r="K16" s="280"/>
      <c r="L16" s="280"/>
      <c r="M16" s="326"/>
      <c r="N16" s="333"/>
      <c r="O16" s="328"/>
      <c r="P16" s="280"/>
      <c r="Q16" s="280"/>
      <c r="R16" s="278"/>
    </row>
    <row r="17" spans="1:18" ht="18.75" customHeight="1">
      <c r="A17" s="318"/>
      <c r="B17" s="283" t="s">
        <v>253</v>
      </c>
      <c r="C17" s="285">
        <v>14</v>
      </c>
      <c r="D17" s="287">
        <v>1825</v>
      </c>
      <c r="E17" s="279">
        <f>C17*D17*E6</f>
        <v>255500</v>
      </c>
      <c r="F17" s="279">
        <f>C17*D17*E6</f>
        <v>255500</v>
      </c>
      <c r="G17" s="279">
        <f>C17*D17*E6</f>
        <v>255500</v>
      </c>
      <c r="H17" s="325">
        <f>C17*D17*E6</f>
        <v>255500</v>
      </c>
      <c r="I17" s="330"/>
      <c r="J17" s="327">
        <f>C17*D17*J6</f>
        <v>383250</v>
      </c>
      <c r="K17" s="279">
        <f>C17*D17*J6</f>
        <v>383250</v>
      </c>
      <c r="L17" s="279">
        <f>C17*D17*J6</f>
        <v>383250</v>
      </c>
      <c r="M17" s="325">
        <f>C17*D17*J6</f>
        <v>383250</v>
      </c>
      <c r="N17" s="333"/>
      <c r="O17" s="327">
        <f>C17*D17*O6</f>
        <v>511000</v>
      </c>
      <c r="P17" s="279">
        <f>C17*D17*O6</f>
        <v>511000</v>
      </c>
      <c r="Q17" s="279">
        <f>C17*D17*O6</f>
        <v>511000</v>
      </c>
      <c r="R17" s="277">
        <f>C17*D17*O6</f>
        <v>511000</v>
      </c>
    </row>
    <row r="18" spans="1:18" ht="13.5" thickBot="1">
      <c r="A18" s="318"/>
      <c r="B18" s="284"/>
      <c r="C18" s="286"/>
      <c r="D18" s="288"/>
      <c r="E18" s="280"/>
      <c r="F18" s="280"/>
      <c r="G18" s="280"/>
      <c r="H18" s="326"/>
      <c r="I18" s="330"/>
      <c r="J18" s="328"/>
      <c r="K18" s="280"/>
      <c r="L18" s="280"/>
      <c r="M18" s="326"/>
      <c r="N18" s="333"/>
      <c r="O18" s="328"/>
      <c r="P18" s="280"/>
      <c r="Q18" s="280"/>
      <c r="R18" s="278"/>
    </row>
    <row r="19" spans="1:18" ht="18.75" customHeight="1">
      <c r="A19" s="318"/>
      <c r="B19" s="283" t="s">
        <v>252</v>
      </c>
      <c r="C19" s="285">
        <v>3</v>
      </c>
      <c r="D19" s="287">
        <v>7300</v>
      </c>
      <c r="E19" s="279">
        <f>C19*D19*E6</f>
        <v>219000</v>
      </c>
      <c r="F19" s="279">
        <f>C19*D19*E6</f>
        <v>219000</v>
      </c>
      <c r="G19" s="279">
        <f>C19*D19*E6</f>
        <v>219000</v>
      </c>
      <c r="H19" s="325">
        <f>C19*D19*E6</f>
        <v>219000</v>
      </c>
      <c r="I19" s="330"/>
      <c r="J19" s="327">
        <f>C19*D19*J6</f>
        <v>328500</v>
      </c>
      <c r="K19" s="279">
        <f>C19*D19*J6</f>
        <v>328500</v>
      </c>
      <c r="L19" s="279">
        <f>C19*D19*J6</f>
        <v>328500</v>
      </c>
      <c r="M19" s="325">
        <f>C19*D19*J6</f>
        <v>328500</v>
      </c>
      <c r="N19" s="333"/>
      <c r="O19" s="327">
        <f>C19*D19*O6</f>
        <v>438000</v>
      </c>
      <c r="P19" s="279">
        <f>C19*D19*O6</f>
        <v>438000</v>
      </c>
      <c r="Q19" s="279">
        <f>C19*D19*O6</f>
        <v>438000</v>
      </c>
      <c r="R19" s="277">
        <f>C19*D19*O6</f>
        <v>438000</v>
      </c>
    </row>
    <row r="20" spans="1:18" ht="13.5" thickBot="1">
      <c r="A20" s="318"/>
      <c r="B20" s="284"/>
      <c r="C20" s="286"/>
      <c r="D20" s="288"/>
      <c r="E20" s="280"/>
      <c r="F20" s="280"/>
      <c r="G20" s="280"/>
      <c r="H20" s="326"/>
      <c r="I20" s="330"/>
      <c r="J20" s="328"/>
      <c r="K20" s="280"/>
      <c r="L20" s="280"/>
      <c r="M20" s="326"/>
      <c r="N20" s="333"/>
      <c r="O20" s="328"/>
      <c r="P20" s="280"/>
      <c r="Q20" s="280"/>
      <c r="R20" s="278"/>
    </row>
    <row r="21" spans="1:25" ht="18.75" customHeight="1">
      <c r="A21" s="318"/>
      <c r="B21" s="283" t="s">
        <v>251</v>
      </c>
      <c r="C21" s="285">
        <v>30</v>
      </c>
      <c r="D21" s="287">
        <v>365</v>
      </c>
      <c r="E21" s="279">
        <f>C21*D21*E6</f>
        <v>109500</v>
      </c>
      <c r="F21" s="279">
        <f>C21*D21*E6</f>
        <v>109500</v>
      </c>
      <c r="G21" s="279">
        <f>C21*D21*E6</f>
        <v>109500</v>
      </c>
      <c r="H21" s="325">
        <f>C21*D21*E6</f>
        <v>109500</v>
      </c>
      <c r="I21" s="330"/>
      <c r="J21" s="327">
        <f>C21*D21*J6</f>
        <v>164250</v>
      </c>
      <c r="K21" s="279">
        <f>C21*D21*J6</f>
        <v>164250</v>
      </c>
      <c r="L21" s="279">
        <f>C21*D21*J6</f>
        <v>164250</v>
      </c>
      <c r="M21" s="325">
        <f>C21*D21*J6</f>
        <v>164250</v>
      </c>
      <c r="N21" s="333"/>
      <c r="O21" s="327">
        <f>C21*D21*O6</f>
        <v>219000</v>
      </c>
      <c r="P21" s="279">
        <f>C21*D21*O6</f>
        <v>219000</v>
      </c>
      <c r="Q21" s="279">
        <f>C21*D21*O6</f>
        <v>219000</v>
      </c>
      <c r="R21" s="277">
        <f>C21*D21*O6</f>
        <v>219000</v>
      </c>
      <c r="Y21" s="141"/>
    </row>
    <row r="22" spans="1:18" ht="19.5" customHeight="1" thickBot="1">
      <c r="A22" s="318"/>
      <c r="B22" s="313"/>
      <c r="C22" s="294"/>
      <c r="D22" s="314"/>
      <c r="E22" s="295"/>
      <c r="F22" s="295"/>
      <c r="G22" s="295"/>
      <c r="H22" s="339"/>
      <c r="I22" s="330"/>
      <c r="J22" s="338"/>
      <c r="K22" s="295"/>
      <c r="L22" s="295"/>
      <c r="M22" s="339"/>
      <c r="N22" s="333"/>
      <c r="O22" s="338"/>
      <c r="P22" s="295"/>
      <c r="Q22" s="295"/>
      <c r="R22" s="312"/>
    </row>
    <row r="23" spans="1:18" ht="19.5" customHeight="1">
      <c r="A23" s="318" t="s">
        <v>154</v>
      </c>
      <c r="B23" s="283" t="s">
        <v>324</v>
      </c>
      <c r="C23" s="292">
        <v>0.5</v>
      </c>
      <c r="D23" s="293">
        <v>3010</v>
      </c>
      <c r="E23" s="281">
        <f>C23*D23*(E4-E6)</f>
        <v>6020</v>
      </c>
      <c r="F23" s="281">
        <f>C23*D23*(E4-E6)</f>
        <v>6020</v>
      </c>
      <c r="G23" s="281">
        <f>C23*D23*(E4-E6)</f>
        <v>6020</v>
      </c>
      <c r="H23" s="342">
        <f>C23*D23*(E4-E6)</f>
        <v>6020</v>
      </c>
      <c r="I23" s="330"/>
      <c r="J23" s="340">
        <f>C23*D23*(J4-J6)</f>
        <v>9030</v>
      </c>
      <c r="K23" s="281">
        <f>C23*D23*(J4-J6)</f>
        <v>9030</v>
      </c>
      <c r="L23" s="281">
        <f>C23*D23*(J4-J6)</f>
        <v>9030</v>
      </c>
      <c r="M23" s="342">
        <f>C23*D23*(J4-J6)</f>
        <v>9030</v>
      </c>
      <c r="N23" s="333"/>
      <c r="O23" s="340">
        <f>C23*D23*(O4-O6)</f>
        <v>12040</v>
      </c>
      <c r="P23" s="281">
        <f>C23*D23*(O4-O6)</f>
        <v>12040</v>
      </c>
      <c r="Q23" s="281">
        <f>C23*D23*(O4-O6)</f>
        <v>12040</v>
      </c>
      <c r="R23" s="282">
        <f>C23*D23*(O4-O6)</f>
        <v>12040</v>
      </c>
    </row>
    <row r="24" spans="1:18" ht="19.5" customHeight="1" thickBot="1">
      <c r="A24" s="318"/>
      <c r="B24" s="284"/>
      <c r="C24" s="296"/>
      <c r="D24" s="297"/>
      <c r="E24" s="289"/>
      <c r="F24" s="289"/>
      <c r="G24" s="289"/>
      <c r="H24" s="343"/>
      <c r="I24" s="330"/>
      <c r="J24" s="341"/>
      <c r="K24" s="289"/>
      <c r="L24" s="289"/>
      <c r="M24" s="343"/>
      <c r="N24" s="333"/>
      <c r="O24" s="341"/>
      <c r="P24" s="289"/>
      <c r="Q24" s="289"/>
      <c r="R24" s="290"/>
    </row>
    <row r="25" spans="1:18" ht="19.5" customHeight="1">
      <c r="A25" s="318"/>
      <c r="B25" s="291" t="s">
        <v>255</v>
      </c>
      <c r="C25" s="292">
        <v>14</v>
      </c>
      <c r="D25" s="293">
        <v>547.5</v>
      </c>
      <c r="E25" s="281">
        <f>C25*D25*(E4-E6)</f>
        <v>30660</v>
      </c>
      <c r="F25" s="281">
        <f>C25*D25*(E4-E6)</f>
        <v>30660</v>
      </c>
      <c r="G25" s="281">
        <f>C25*D25*(E4-E6)</f>
        <v>30660</v>
      </c>
      <c r="H25" s="342">
        <f>C25*D25*(E4-E6)</f>
        <v>30660</v>
      </c>
      <c r="I25" s="330"/>
      <c r="J25" s="340">
        <f>C25*D25*(J4-J6)</f>
        <v>45990</v>
      </c>
      <c r="K25" s="281">
        <f>C25*D25*(J4-J6)</f>
        <v>45990</v>
      </c>
      <c r="L25" s="281">
        <f>C25*D25*(J4-J6)</f>
        <v>45990</v>
      </c>
      <c r="M25" s="342">
        <f>C25*D25*(J4-J6)</f>
        <v>45990</v>
      </c>
      <c r="N25" s="333"/>
      <c r="O25" s="340">
        <f>C25*D25*(O4-O6)</f>
        <v>61320</v>
      </c>
      <c r="P25" s="281">
        <f>C25*D25*(O4-O6)</f>
        <v>61320</v>
      </c>
      <c r="Q25" s="281">
        <f>C25*D25*(O4-O6)</f>
        <v>61320</v>
      </c>
      <c r="R25" s="282">
        <f>C25*D25*(O4-O6)</f>
        <v>61320</v>
      </c>
    </row>
    <row r="26" spans="1:18" ht="19.5" customHeight="1" thickBot="1">
      <c r="A26" s="318"/>
      <c r="B26" s="284"/>
      <c r="C26" s="286"/>
      <c r="D26" s="288"/>
      <c r="E26" s="280"/>
      <c r="F26" s="280"/>
      <c r="G26" s="280"/>
      <c r="H26" s="326"/>
      <c r="I26" s="330"/>
      <c r="J26" s="328"/>
      <c r="K26" s="280"/>
      <c r="L26" s="280"/>
      <c r="M26" s="326"/>
      <c r="N26" s="333"/>
      <c r="O26" s="328"/>
      <c r="P26" s="280"/>
      <c r="Q26" s="280"/>
      <c r="R26" s="278"/>
    </row>
    <row r="27" spans="1:18" ht="19.5" customHeight="1">
      <c r="A27" s="318"/>
      <c r="B27" s="283" t="s">
        <v>254</v>
      </c>
      <c r="C27" s="285">
        <v>3</v>
      </c>
      <c r="D27" s="287">
        <v>5475</v>
      </c>
      <c r="E27" s="279">
        <f>C27*D27*(E4-E6)</f>
        <v>65700</v>
      </c>
      <c r="F27" s="279">
        <f>C27*D27*(E4-E6)</f>
        <v>65700</v>
      </c>
      <c r="G27" s="279">
        <f>C27*D27*(E4-E6)</f>
        <v>65700</v>
      </c>
      <c r="H27" s="325">
        <f>C27*D27*(E4-E6)</f>
        <v>65700</v>
      </c>
      <c r="I27" s="330"/>
      <c r="J27" s="327">
        <f>C27*D27*(J4-J6)</f>
        <v>98550</v>
      </c>
      <c r="K27" s="279">
        <f>C27*D27*(J4-J6)</f>
        <v>98550</v>
      </c>
      <c r="L27" s="279">
        <f>C27*D27*(J4-J6)</f>
        <v>98550</v>
      </c>
      <c r="M27" s="325">
        <f>C27*D27*(J4-J6)</f>
        <v>98550</v>
      </c>
      <c r="N27" s="333"/>
      <c r="O27" s="327">
        <f>C27*D27*(O4-O6)</f>
        <v>131400</v>
      </c>
      <c r="P27" s="279">
        <f>C27*D27*(O4-O6)</f>
        <v>131400</v>
      </c>
      <c r="Q27" s="279">
        <f>C27*D27*(O4-O6)</f>
        <v>131400</v>
      </c>
      <c r="R27" s="277">
        <f>C27*D27*(O4-O6)</f>
        <v>131400</v>
      </c>
    </row>
    <row r="28" spans="1:18" ht="19.5" customHeight="1" thickBot="1">
      <c r="A28" s="318"/>
      <c r="B28" s="284"/>
      <c r="C28" s="286"/>
      <c r="D28" s="288"/>
      <c r="E28" s="280"/>
      <c r="F28" s="280"/>
      <c r="G28" s="280"/>
      <c r="H28" s="326"/>
      <c r="I28" s="330"/>
      <c r="J28" s="328"/>
      <c r="K28" s="280"/>
      <c r="L28" s="280"/>
      <c r="M28" s="326"/>
      <c r="N28" s="333"/>
      <c r="O28" s="328"/>
      <c r="P28" s="280"/>
      <c r="Q28" s="280"/>
      <c r="R28" s="278"/>
    </row>
    <row r="29" spans="1:18" ht="18.75" customHeight="1">
      <c r="A29" s="318"/>
      <c r="B29" s="283" t="s">
        <v>256</v>
      </c>
      <c r="C29" s="285">
        <v>30</v>
      </c>
      <c r="D29" s="287">
        <v>146</v>
      </c>
      <c r="E29" s="279">
        <f>C29*D29*(E4-E6)</f>
        <v>17520</v>
      </c>
      <c r="F29" s="279">
        <f>C29*D29*(E4-E6)</f>
        <v>17520</v>
      </c>
      <c r="G29" s="279">
        <f>C29*D29*(E4-E6)</f>
        <v>17520</v>
      </c>
      <c r="H29" s="325">
        <f>C29*D29*(E4-E6)</f>
        <v>17520</v>
      </c>
      <c r="I29" s="330"/>
      <c r="J29" s="327">
        <f>C29*D29*(J4-J6)</f>
        <v>26280</v>
      </c>
      <c r="K29" s="279">
        <f>C29*D29*(J4-J6)</f>
        <v>26280</v>
      </c>
      <c r="L29" s="279">
        <f>C29*D29*(J4-J6)</f>
        <v>26280</v>
      </c>
      <c r="M29" s="325">
        <f>C29*D29*(J4-J6)</f>
        <v>26280</v>
      </c>
      <c r="N29" s="333"/>
      <c r="O29" s="327">
        <f>C29*D29*(O4-O6)</f>
        <v>35040</v>
      </c>
      <c r="P29" s="279">
        <f>C29*D29*(O4-O6)</f>
        <v>35040</v>
      </c>
      <c r="Q29" s="279">
        <f>C29*D29*(O4-O6)</f>
        <v>35040</v>
      </c>
      <c r="R29" s="277">
        <f>C29*D29*(O4-O6)</f>
        <v>35040</v>
      </c>
    </row>
    <row r="30" spans="1:18" ht="22.5" customHeight="1" thickBot="1">
      <c r="A30" s="318"/>
      <c r="B30" s="313"/>
      <c r="C30" s="286"/>
      <c r="D30" s="288"/>
      <c r="E30" s="280"/>
      <c r="F30" s="280"/>
      <c r="G30" s="280"/>
      <c r="H30" s="326"/>
      <c r="I30" s="330"/>
      <c r="J30" s="328"/>
      <c r="K30" s="280"/>
      <c r="L30" s="280"/>
      <c r="M30" s="326"/>
      <c r="N30" s="333"/>
      <c r="O30" s="328"/>
      <c r="P30" s="280"/>
      <c r="Q30" s="280"/>
      <c r="R30" s="278"/>
    </row>
    <row r="31" spans="1:18" ht="23.25" customHeight="1" thickBot="1">
      <c r="A31" s="142" t="s">
        <v>155</v>
      </c>
      <c r="B31" s="165" t="s">
        <v>114</v>
      </c>
      <c r="C31" s="158">
        <v>7</v>
      </c>
      <c r="D31" s="258">
        <v>25</v>
      </c>
      <c r="E31" s="123">
        <f>C31*D31*E4</f>
        <v>2450</v>
      </c>
      <c r="F31" s="123">
        <f>C31*D31*E4</f>
        <v>2450</v>
      </c>
      <c r="G31" s="123">
        <f>C31*D31*E4</f>
        <v>2450</v>
      </c>
      <c r="H31" s="124">
        <f>C31*D31*E4</f>
        <v>2450</v>
      </c>
      <c r="I31" s="330"/>
      <c r="J31" s="125">
        <f>C31*D31*J4</f>
        <v>3675</v>
      </c>
      <c r="K31" s="123">
        <f>C31*D31*J4</f>
        <v>3675</v>
      </c>
      <c r="L31" s="123">
        <f>C31*D31*J4</f>
        <v>3675</v>
      </c>
      <c r="M31" s="124">
        <f>C31*D31*J6</f>
        <v>2625</v>
      </c>
      <c r="N31" s="333"/>
      <c r="O31" s="125">
        <f>C31*D31*O4</f>
        <v>4900</v>
      </c>
      <c r="P31" s="123">
        <f>C31*D31*O4</f>
        <v>4900</v>
      </c>
      <c r="Q31" s="123">
        <f>C31*D31*O4</f>
        <v>4900</v>
      </c>
      <c r="R31" s="122">
        <f>C31*D31*O4</f>
        <v>4900</v>
      </c>
    </row>
    <row r="32" spans="1:18" ht="24.75" customHeight="1" thickBot="1">
      <c r="A32" s="143" t="s">
        <v>156</v>
      </c>
      <c r="B32" s="259" t="s">
        <v>115</v>
      </c>
      <c r="C32" s="256">
        <v>5000</v>
      </c>
      <c r="D32" s="257">
        <v>1</v>
      </c>
      <c r="E32" s="123">
        <f>C32*D32*E4</f>
        <v>70000</v>
      </c>
      <c r="F32" s="123">
        <f>C32*D32*E4</f>
        <v>70000</v>
      </c>
      <c r="G32" s="123">
        <f>C32*D32*E4</f>
        <v>70000</v>
      </c>
      <c r="H32" s="260">
        <f>C32*D32*E4</f>
        <v>70000</v>
      </c>
      <c r="I32" s="330"/>
      <c r="J32" s="125">
        <f>C32*D32*J4</f>
        <v>105000</v>
      </c>
      <c r="K32" s="123">
        <f>C32*D32*J4</f>
        <v>105000</v>
      </c>
      <c r="L32" s="123">
        <f>C32*D32*J4</f>
        <v>105000</v>
      </c>
      <c r="M32" s="124">
        <f>C32*D32*J4</f>
        <v>105000</v>
      </c>
      <c r="N32" s="333"/>
      <c r="O32" s="125">
        <f>C32*D32*O4</f>
        <v>140000</v>
      </c>
      <c r="P32" s="123">
        <f>C32*D32*O4</f>
        <v>140000</v>
      </c>
      <c r="Q32" s="123">
        <f>C32*D32*O4</f>
        <v>140000</v>
      </c>
      <c r="R32" s="122">
        <f>C32*D32*O4</f>
        <v>140000</v>
      </c>
    </row>
    <row r="33" spans="1:18" ht="39" thickBot="1">
      <c r="A33" s="143" t="s">
        <v>157</v>
      </c>
      <c r="B33" s="259" t="s">
        <v>327</v>
      </c>
      <c r="C33" s="261"/>
      <c r="D33" s="262"/>
      <c r="E33" s="256">
        <v>130000</v>
      </c>
      <c r="F33" s="256">
        <v>130000</v>
      </c>
      <c r="G33" s="267">
        <v>130000</v>
      </c>
      <c r="H33" s="163">
        <v>130000</v>
      </c>
      <c r="I33" s="330"/>
      <c r="J33" s="266">
        <v>200000</v>
      </c>
      <c r="K33" s="256">
        <v>200000</v>
      </c>
      <c r="L33" s="256">
        <v>200000</v>
      </c>
      <c r="M33" s="267">
        <v>200000</v>
      </c>
      <c r="N33" s="333"/>
      <c r="O33" s="266">
        <v>260000</v>
      </c>
      <c r="P33" s="256">
        <v>260000</v>
      </c>
      <c r="Q33" s="256">
        <v>260000</v>
      </c>
      <c r="R33" s="162">
        <v>260000</v>
      </c>
    </row>
    <row r="34" spans="1:18" ht="51.75" thickBot="1">
      <c r="A34" s="143" t="s">
        <v>158</v>
      </c>
      <c r="B34" s="259" t="s">
        <v>279</v>
      </c>
      <c r="C34" s="144"/>
      <c r="D34" s="145"/>
      <c r="E34" s="256">
        <v>50000</v>
      </c>
      <c r="F34" s="256">
        <v>50000</v>
      </c>
      <c r="G34" s="256">
        <v>50000</v>
      </c>
      <c r="H34" s="265">
        <v>50000</v>
      </c>
      <c r="I34" s="331"/>
      <c r="J34" s="266">
        <v>75000</v>
      </c>
      <c r="K34" s="256">
        <v>75000</v>
      </c>
      <c r="L34" s="256">
        <v>75000</v>
      </c>
      <c r="M34" s="267">
        <v>75000</v>
      </c>
      <c r="N34" s="334"/>
      <c r="O34" s="266">
        <v>100000</v>
      </c>
      <c r="P34" s="256">
        <v>100000</v>
      </c>
      <c r="Q34" s="256">
        <v>100000</v>
      </c>
      <c r="R34" s="162">
        <v>100000</v>
      </c>
    </row>
    <row r="35" spans="2:18" ht="13.5" thickBot="1">
      <c r="B35" s="104" t="s">
        <v>102</v>
      </c>
      <c r="C35" s="139"/>
      <c r="D35" s="146">
        <v>0.06</v>
      </c>
      <c r="E35" s="9">
        <f>(E11-E14)*D35</f>
        <v>23181</v>
      </c>
      <c r="F35" s="9">
        <f>(F11-F14)*D35</f>
        <v>23181</v>
      </c>
      <c r="G35" s="9">
        <f>(G11-G14)*D35</f>
        <v>23181</v>
      </c>
      <c r="H35" s="9">
        <f>(H11-H14)*D35</f>
        <v>23181</v>
      </c>
      <c r="I35" s="17"/>
      <c r="J35" s="9">
        <f>(J11-J14)*D35</f>
        <v>45721.5</v>
      </c>
      <c r="K35" s="9">
        <f>(K11-K14)*D35</f>
        <v>45721.5</v>
      </c>
      <c r="L35" s="9">
        <f>(L11-L14)*D35</f>
        <v>45721.5</v>
      </c>
      <c r="M35" s="9">
        <f>(M11-M14)*D35</f>
        <v>45784.5</v>
      </c>
      <c r="N35" s="17"/>
      <c r="O35" s="9">
        <f>(O11-O14)*D35</f>
        <v>69762</v>
      </c>
      <c r="P35" s="9">
        <f>(P11-P14)*D35</f>
        <v>69762</v>
      </c>
      <c r="Q35" s="9">
        <f>(Q11-Q14)*D35</f>
        <v>69762</v>
      </c>
      <c r="R35" s="106">
        <f>(R11-R14)*D35</f>
        <v>69762</v>
      </c>
    </row>
    <row r="36" spans="1:18" ht="13.5" thickBot="1">
      <c r="A36" s="143" t="s">
        <v>159</v>
      </c>
      <c r="B36" s="19" t="s">
        <v>103</v>
      </c>
      <c r="C36" s="20"/>
      <c r="D36" s="20"/>
      <c r="E36" s="21">
        <f>E11-E14-E35</f>
        <v>363169</v>
      </c>
      <c r="F36" s="21">
        <f aca="true" t="shared" si="2" ref="F36:R36">F11-F14-F35</f>
        <v>363169</v>
      </c>
      <c r="G36" s="21">
        <f t="shared" si="2"/>
        <v>363169</v>
      </c>
      <c r="H36" s="21">
        <f t="shared" si="2"/>
        <v>363169</v>
      </c>
      <c r="I36" s="21"/>
      <c r="J36" s="21">
        <f t="shared" si="2"/>
        <v>716303.5</v>
      </c>
      <c r="K36" s="21">
        <f t="shared" si="2"/>
        <v>716303.5</v>
      </c>
      <c r="L36" s="21">
        <f t="shared" si="2"/>
        <v>716303.5</v>
      </c>
      <c r="M36" s="21">
        <f t="shared" si="2"/>
        <v>717290.5</v>
      </c>
      <c r="N36" s="21"/>
      <c r="O36" s="21">
        <f t="shared" si="2"/>
        <v>1092938</v>
      </c>
      <c r="P36" s="21">
        <f t="shared" si="2"/>
        <v>1092938</v>
      </c>
      <c r="Q36" s="21">
        <f t="shared" si="2"/>
        <v>1092938</v>
      </c>
      <c r="R36" s="21">
        <f t="shared" si="2"/>
        <v>1092938</v>
      </c>
    </row>
    <row r="37" spans="1:18" ht="26.25" thickBot="1">
      <c r="A37" s="143" t="s">
        <v>160</v>
      </c>
      <c r="B37" s="104" t="s">
        <v>116</v>
      </c>
      <c r="C37" s="139"/>
      <c r="D37" s="25">
        <v>0.1</v>
      </c>
      <c r="E37" s="18">
        <f>E8*D37</f>
        <v>242000</v>
      </c>
      <c r="F37" s="10"/>
      <c r="G37" s="10"/>
      <c r="H37" s="10"/>
      <c r="I37" s="113"/>
      <c r="J37" s="18">
        <f>J8*D37</f>
        <v>363000</v>
      </c>
      <c r="K37" s="10"/>
      <c r="L37" s="10"/>
      <c r="M37" s="10"/>
      <c r="N37" s="113"/>
      <c r="O37" s="18">
        <f>O8*D37</f>
        <v>484000</v>
      </c>
      <c r="P37" s="10"/>
      <c r="Q37" s="10"/>
      <c r="R37" s="107"/>
    </row>
    <row r="38" spans="1:18" ht="26.25" thickBot="1">
      <c r="A38" s="143"/>
      <c r="B38" s="104" t="s">
        <v>117</v>
      </c>
      <c r="C38" s="139"/>
      <c r="D38" s="147"/>
      <c r="E38" s="18">
        <f>E8-E37</f>
        <v>2178000</v>
      </c>
      <c r="F38" s="10"/>
      <c r="G38" s="10"/>
      <c r="H38" s="10"/>
      <c r="I38" s="113"/>
      <c r="J38" s="18">
        <f>J8-J37</f>
        <v>3267000</v>
      </c>
      <c r="K38" s="10"/>
      <c r="L38" s="10"/>
      <c r="M38" s="10"/>
      <c r="N38" s="113"/>
      <c r="O38" s="18">
        <f>O8-O37</f>
        <v>4356000</v>
      </c>
      <c r="P38" s="10"/>
      <c r="Q38" s="10"/>
      <c r="R38" s="107"/>
    </row>
    <row r="39" spans="1:18" ht="39" thickBot="1">
      <c r="A39" s="143" t="s">
        <v>160</v>
      </c>
      <c r="B39" s="104" t="s">
        <v>118</v>
      </c>
      <c r="C39" s="148"/>
      <c r="D39" s="163">
        <v>200000</v>
      </c>
      <c r="E39" s="18">
        <f>D39</f>
        <v>200000</v>
      </c>
      <c r="F39" s="10"/>
      <c r="G39" s="10"/>
      <c r="H39" s="10"/>
      <c r="I39" s="113"/>
      <c r="J39" s="18">
        <f>D39</f>
        <v>200000</v>
      </c>
      <c r="K39" s="10"/>
      <c r="L39" s="10"/>
      <c r="M39" s="10"/>
      <c r="N39" s="113"/>
      <c r="O39" s="18">
        <f>D39</f>
        <v>200000</v>
      </c>
      <c r="P39" s="10"/>
      <c r="Q39" s="10"/>
      <c r="R39" s="107"/>
    </row>
    <row r="40" spans="1:18" ht="39" thickBot="1">
      <c r="A40" s="143"/>
      <c r="B40" s="149" t="s">
        <v>122</v>
      </c>
      <c r="C40" s="150"/>
      <c r="D40" s="151"/>
      <c r="E40" s="11">
        <f>(E39/3)+(E39*5%)</f>
        <v>76666.66666666667</v>
      </c>
      <c r="F40" s="11">
        <f>(E39/3)+(E39-(E39/3))*5%</f>
        <v>73333.33333333334</v>
      </c>
      <c r="G40" s="11">
        <f>(E39/3)+(E39-(E39*0.67))*5%</f>
        <v>69966.66666666667</v>
      </c>
      <c r="H40" s="11"/>
      <c r="I40" s="11"/>
      <c r="J40" s="11">
        <f>(J39/3)+(J39*5%)</f>
        <v>76666.66666666667</v>
      </c>
      <c r="K40" s="11">
        <f>(J39/3)+(J39-(J39/3))*5%</f>
        <v>73333.33333333334</v>
      </c>
      <c r="L40" s="11">
        <f>(J39/3)+(J39-(J39*0.67))*5%</f>
        <v>69966.66666666667</v>
      </c>
      <c r="M40" s="11"/>
      <c r="N40" s="11"/>
      <c r="O40" s="11">
        <f>(O39/3)+(O39*5%)</f>
        <v>76666.66666666667</v>
      </c>
      <c r="P40" s="11">
        <f>(O39/3)+(O39-(O39/3))*5%</f>
        <v>73333.33333333334</v>
      </c>
      <c r="Q40" s="11">
        <f>(O39/3)+(O39-(O39*0.67))*5%</f>
        <v>69966.66666666667</v>
      </c>
      <c r="R40" s="108"/>
    </row>
    <row r="41" spans="1:18" ht="13.5" thickBot="1">
      <c r="A41" s="143" t="s">
        <v>161</v>
      </c>
      <c r="B41" s="152" t="s">
        <v>105</v>
      </c>
      <c r="C41" s="153"/>
      <c r="D41" s="153"/>
      <c r="E41" s="21">
        <f>E36-E40</f>
        <v>286502.3333333333</v>
      </c>
      <c r="F41" s="21">
        <f>F36-F40</f>
        <v>289835.6666666666</v>
      </c>
      <c r="G41" s="21">
        <f>G36-G40</f>
        <v>293202.3333333333</v>
      </c>
      <c r="H41" s="21">
        <f>H36-H40</f>
        <v>363169</v>
      </c>
      <c r="I41" s="21"/>
      <c r="J41" s="21">
        <f>J36-J40</f>
        <v>639636.8333333334</v>
      </c>
      <c r="K41" s="21">
        <f aca="true" t="shared" si="3" ref="K41:R41">K36-K40</f>
        <v>642970.1666666666</v>
      </c>
      <c r="L41" s="21">
        <f t="shared" si="3"/>
        <v>646336.8333333334</v>
      </c>
      <c r="M41" s="21">
        <f t="shared" si="3"/>
        <v>717290.5</v>
      </c>
      <c r="N41" s="21"/>
      <c r="O41" s="21">
        <f t="shared" si="3"/>
        <v>1016271.3333333334</v>
      </c>
      <c r="P41" s="21">
        <f t="shared" si="3"/>
        <v>1019604.6666666666</v>
      </c>
      <c r="Q41" s="21">
        <f t="shared" si="3"/>
        <v>1022971.3333333334</v>
      </c>
      <c r="R41" s="21">
        <f t="shared" si="3"/>
        <v>1092938</v>
      </c>
    </row>
    <row r="44" spans="1:4" ht="15.75">
      <c r="A44" s="101"/>
      <c r="B44" s="311" t="s">
        <v>121</v>
      </c>
      <c r="C44" s="311"/>
      <c r="D44" s="311"/>
    </row>
    <row r="45" ht="12.75">
      <c r="F45" s="154"/>
    </row>
  </sheetData>
  <sheetProtection password="CBA5" sheet="1"/>
  <mergeCells count="168">
    <mergeCell ref="B44:D44"/>
    <mergeCell ref="I6:I7"/>
    <mergeCell ref="J29:J30"/>
    <mergeCell ref="K29:K30"/>
    <mergeCell ref="P29:P30"/>
    <mergeCell ref="Q27:Q28"/>
    <mergeCell ref="R27:R28"/>
    <mergeCell ref="P27:P28"/>
    <mergeCell ref="A4:A7"/>
    <mergeCell ref="A15:A22"/>
    <mergeCell ref="A23:A30"/>
    <mergeCell ref="Q29:Q30"/>
    <mergeCell ref="R29:R30"/>
    <mergeCell ref="M23:M24"/>
    <mergeCell ref="B29:B30"/>
    <mergeCell ref="C29:C30"/>
    <mergeCell ref="D29:D30"/>
    <mergeCell ref="E29:E30"/>
    <mergeCell ref="F29:F30"/>
    <mergeCell ref="G29:G30"/>
    <mergeCell ref="L29:L30"/>
    <mergeCell ref="M29:M30"/>
    <mergeCell ref="H29:H30"/>
    <mergeCell ref="J27:J28"/>
    <mergeCell ref="K27:K28"/>
    <mergeCell ref="L27:L28"/>
    <mergeCell ref="M27:M28"/>
    <mergeCell ref="O27:O28"/>
    <mergeCell ref="O29:O30"/>
    <mergeCell ref="M25:M26"/>
    <mergeCell ref="O25:O26"/>
    <mergeCell ref="P25:P26"/>
    <mergeCell ref="Q25:Q26"/>
    <mergeCell ref="R25:R26"/>
    <mergeCell ref="B27:B28"/>
    <mergeCell ref="C27:C28"/>
    <mergeCell ref="D27:D28"/>
    <mergeCell ref="E27:E28"/>
    <mergeCell ref="F27:F28"/>
    <mergeCell ref="J25:J26"/>
    <mergeCell ref="K25:K26"/>
    <mergeCell ref="G23:G24"/>
    <mergeCell ref="C25:C26"/>
    <mergeCell ref="D25:D26"/>
    <mergeCell ref="E25:E26"/>
    <mergeCell ref="F25:F26"/>
    <mergeCell ref="G25:G26"/>
    <mergeCell ref="K23:K24"/>
    <mergeCell ref="B25:B26"/>
    <mergeCell ref="P21:P22"/>
    <mergeCell ref="J8:M8"/>
    <mergeCell ref="O8:R8"/>
    <mergeCell ref="J9:M9"/>
    <mergeCell ref="O9:R9"/>
    <mergeCell ref="J10:M10"/>
    <mergeCell ref="N8:N11"/>
    <mergeCell ref="J12:J13"/>
    <mergeCell ref="H25:H26"/>
    <mergeCell ref="E5:R5"/>
    <mergeCell ref="J6:M6"/>
    <mergeCell ref="O6:R6"/>
    <mergeCell ref="E10:H10"/>
    <mergeCell ref="D12:D13"/>
    <mergeCell ref="E12:E13"/>
    <mergeCell ref="F12:F13"/>
    <mergeCell ref="G12:G13"/>
    <mergeCell ref="I8:I11"/>
    <mergeCell ref="L25:L26"/>
    <mergeCell ref="G27:G28"/>
    <mergeCell ref="H27:H28"/>
    <mergeCell ref="O10:R10"/>
    <mergeCell ref="O23:O24"/>
    <mergeCell ref="Q23:Q24"/>
    <mergeCell ref="R23:R24"/>
    <mergeCell ref="L15:L16"/>
    <mergeCell ref="P23:P24"/>
    <mergeCell ref="H23:H24"/>
    <mergeCell ref="J4:M4"/>
    <mergeCell ref="O4:R4"/>
    <mergeCell ref="J19:J20"/>
    <mergeCell ref="P19:P20"/>
    <mergeCell ref="J21:J22"/>
    <mergeCell ref="Q21:Q22"/>
    <mergeCell ref="R21:R22"/>
    <mergeCell ref="K21:K22"/>
    <mergeCell ref="P17:P18"/>
    <mergeCell ref="N6:N7"/>
    <mergeCell ref="L23:L24"/>
    <mergeCell ref="J23:J24"/>
    <mergeCell ref="B23:B24"/>
    <mergeCell ref="C23:C24"/>
    <mergeCell ref="D23:D24"/>
    <mergeCell ref="E23:E24"/>
    <mergeCell ref="F23:F24"/>
    <mergeCell ref="O21:O22"/>
    <mergeCell ref="B21:B22"/>
    <mergeCell ref="C21:C22"/>
    <mergeCell ref="D21:D22"/>
    <mergeCell ref="E21:E22"/>
    <mergeCell ref="F21:F22"/>
    <mergeCell ref="L21:L22"/>
    <mergeCell ref="M21:M22"/>
    <mergeCell ref="G21:G22"/>
    <mergeCell ref="H21:H22"/>
    <mergeCell ref="A8:A10"/>
    <mergeCell ref="E8:H8"/>
    <mergeCell ref="E9:H9"/>
    <mergeCell ref="B3:B7"/>
    <mergeCell ref="C3:C7"/>
    <mergeCell ref="A12:A13"/>
    <mergeCell ref="B12:B13"/>
    <mergeCell ref="C12:C13"/>
    <mergeCell ref="E4:H4"/>
    <mergeCell ref="D5:D7"/>
    <mergeCell ref="B1:R2"/>
    <mergeCell ref="E3:R3"/>
    <mergeCell ref="E6:H6"/>
    <mergeCell ref="H12:H13"/>
    <mergeCell ref="K12:K13"/>
    <mergeCell ref="L12:L13"/>
    <mergeCell ref="M12:M13"/>
    <mergeCell ref="Q12:Q13"/>
    <mergeCell ref="R12:R13"/>
    <mergeCell ref="P12:P13"/>
    <mergeCell ref="B15:B16"/>
    <mergeCell ref="C15:C16"/>
    <mergeCell ref="D15:D16"/>
    <mergeCell ref="E15:E16"/>
    <mergeCell ref="F15:F16"/>
    <mergeCell ref="J15:J16"/>
    <mergeCell ref="H15:H16"/>
    <mergeCell ref="K15:K16"/>
    <mergeCell ref="H17:H18"/>
    <mergeCell ref="M15:M16"/>
    <mergeCell ref="O15:O16"/>
    <mergeCell ref="O12:O13"/>
    <mergeCell ref="R15:R16"/>
    <mergeCell ref="L17:L18"/>
    <mergeCell ref="M17:M18"/>
    <mergeCell ref="O17:O18"/>
    <mergeCell ref="Q17:Q18"/>
    <mergeCell ref="B17:B18"/>
    <mergeCell ref="C17:C18"/>
    <mergeCell ref="D17:D18"/>
    <mergeCell ref="E17:E18"/>
    <mergeCell ref="F17:F18"/>
    <mergeCell ref="K17:K18"/>
    <mergeCell ref="J17:J18"/>
    <mergeCell ref="Q15:Q16"/>
    <mergeCell ref="P15:P16"/>
    <mergeCell ref="B19:B20"/>
    <mergeCell ref="C19:C20"/>
    <mergeCell ref="D19:D20"/>
    <mergeCell ref="E19:E20"/>
    <mergeCell ref="F19:F20"/>
    <mergeCell ref="G15:G16"/>
    <mergeCell ref="G17:G18"/>
    <mergeCell ref="G19:G20"/>
    <mergeCell ref="R19:R20"/>
    <mergeCell ref="H19:H20"/>
    <mergeCell ref="K19:K20"/>
    <mergeCell ref="L19:L20"/>
    <mergeCell ref="M19:M20"/>
    <mergeCell ref="R17:R18"/>
    <mergeCell ref="O19:O20"/>
    <mergeCell ref="Q19:Q20"/>
    <mergeCell ref="I12:I34"/>
    <mergeCell ref="N12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6"/>
  <sheetViews>
    <sheetView tabSelected="1" zoomScale="68" zoomScaleNormal="68" zoomScalePageLayoutView="48" workbookViewId="0" topLeftCell="A1">
      <selection activeCell="G30" sqref="G30"/>
    </sheetView>
  </sheetViews>
  <sheetFormatPr defaultColWidth="9.140625" defaultRowHeight="12.75"/>
  <cols>
    <col min="1" max="1" width="9.140625" style="132" customWidth="1"/>
    <col min="2" max="2" width="35.28125" style="132" customWidth="1"/>
    <col min="3" max="3" width="11.7109375" style="132" customWidth="1"/>
    <col min="4" max="6" width="13.57421875" style="132" customWidth="1"/>
    <col min="7" max="7" width="14.57421875" style="132" bestFit="1" customWidth="1"/>
    <col min="8" max="10" width="17.8515625" style="132" bestFit="1" customWidth="1"/>
    <col min="11" max="11" width="16.00390625" style="132" customWidth="1"/>
    <col min="12" max="14" width="19.140625" style="132" customWidth="1"/>
    <col min="15" max="15" width="17.28125" style="132" customWidth="1"/>
    <col min="16" max="18" width="19.140625" style="132" customWidth="1"/>
    <col min="19" max="16384" width="9.140625" style="132" customWidth="1"/>
  </cols>
  <sheetData>
    <row r="1" spans="2:18" ht="12.75">
      <c r="B1" s="319" t="s">
        <v>112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2:18" ht="54.75" customHeight="1" thickBot="1"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2:18" ht="16.5" customHeight="1">
      <c r="B3" s="357" t="s">
        <v>107</v>
      </c>
      <c r="C3" s="360" t="s">
        <v>97</v>
      </c>
      <c r="D3" s="360" t="s">
        <v>237</v>
      </c>
      <c r="E3" s="354" t="s">
        <v>236</v>
      </c>
      <c r="F3" s="354" t="s">
        <v>238</v>
      </c>
      <c r="G3" s="360" t="s">
        <v>98</v>
      </c>
      <c r="H3" s="360" t="s">
        <v>322</v>
      </c>
      <c r="I3" s="360"/>
      <c r="J3" s="360"/>
      <c r="K3" s="360"/>
      <c r="L3" s="360"/>
      <c r="M3" s="360"/>
      <c r="N3" s="360"/>
      <c r="O3" s="360"/>
      <c r="P3" s="360"/>
      <c r="Q3" s="360"/>
      <c r="R3" s="361"/>
    </row>
    <row r="4" spans="1:18" ht="82.5" customHeight="1">
      <c r="A4" s="132" t="s">
        <v>205</v>
      </c>
      <c r="B4" s="358"/>
      <c r="C4" s="351"/>
      <c r="D4" s="351"/>
      <c r="E4" s="355"/>
      <c r="F4" s="355"/>
      <c r="G4" s="351"/>
      <c r="H4" s="42">
        <v>100</v>
      </c>
      <c r="I4" s="36"/>
      <c r="J4" s="37"/>
      <c r="K4" s="351" t="s">
        <v>99</v>
      </c>
      <c r="L4" s="38">
        <v>150</v>
      </c>
      <c r="M4" s="39"/>
      <c r="N4" s="40"/>
      <c r="O4" s="351" t="s">
        <v>99</v>
      </c>
      <c r="P4" s="38">
        <v>200</v>
      </c>
      <c r="Q4" s="39"/>
      <c r="R4" s="41"/>
    </row>
    <row r="5" spans="2:18" ht="16.5" customHeight="1" thickBot="1">
      <c r="B5" s="359"/>
      <c r="C5" s="352"/>
      <c r="D5" s="352"/>
      <c r="E5" s="356"/>
      <c r="F5" s="356"/>
      <c r="G5" s="352"/>
      <c r="H5" s="166" t="s">
        <v>26</v>
      </c>
      <c r="I5" s="166" t="s">
        <v>27</v>
      </c>
      <c r="J5" s="166" t="s">
        <v>28</v>
      </c>
      <c r="K5" s="352"/>
      <c r="L5" s="166" t="s">
        <v>26</v>
      </c>
      <c r="M5" s="166" t="s">
        <v>27</v>
      </c>
      <c r="N5" s="166" t="s">
        <v>28</v>
      </c>
      <c r="O5" s="352"/>
      <c r="P5" s="166" t="s">
        <v>26</v>
      </c>
      <c r="Q5" s="166" t="s">
        <v>27</v>
      </c>
      <c r="R5" s="167" t="s">
        <v>28</v>
      </c>
    </row>
    <row r="6" spans="2:18" ht="90" customHeight="1" thickBot="1">
      <c r="B6" s="168" t="s">
        <v>235</v>
      </c>
      <c r="C6" s="169"/>
      <c r="D6" s="169"/>
      <c r="E6" s="169"/>
      <c r="F6" s="169"/>
      <c r="G6" s="170"/>
      <c r="H6" s="349">
        <f>'Инвестиционная программа СХК'!F14</f>
        <v>18914000</v>
      </c>
      <c r="I6" s="349"/>
      <c r="J6" s="349"/>
      <c r="K6" s="127"/>
      <c r="L6" s="349">
        <f>'Инвестиционная программа СХК'!F14</f>
        <v>18914000</v>
      </c>
      <c r="M6" s="349"/>
      <c r="N6" s="349"/>
      <c r="O6" s="127"/>
      <c r="P6" s="349">
        <f>'Инвестиционная программа СХК'!F14</f>
        <v>18914000</v>
      </c>
      <c r="Q6" s="349"/>
      <c r="R6" s="350"/>
    </row>
    <row r="7" spans="2:18" ht="13.5" thickBot="1">
      <c r="B7" s="171" t="s">
        <v>100</v>
      </c>
      <c r="C7" s="172"/>
      <c r="D7" s="172"/>
      <c r="E7" s="172"/>
      <c r="F7" s="172"/>
      <c r="G7" s="173"/>
      <c r="H7" s="50">
        <f>H8</f>
        <v>19475347.982456144</v>
      </c>
      <c r="I7" s="50">
        <f aca="true" t="shared" si="0" ref="I7:R7">I8</f>
        <v>19475347.982456144</v>
      </c>
      <c r="J7" s="50">
        <f t="shared" si="0"/>
        <v>19475347.982456144</v>
      </c>
      <c r="K7" s="50"/>
      <c r="L7" s="50">
        <f t="shared" si="0"/>
        <v>29213021.973684214</v>
      </c>
      <c r="M7" s="50">
        <f t="shared" si="0"/>
        <v>29213021.973684214</v>
      </c>
      <c r="N7" s="50">
        <f t="shared" si="0"/>
        <v>29213021.973684214</v>
      </c>
      <c r="O7" s="50"/>
      <c r="P7" s="50">
        <f t="shared" si="0"/>
        <v>38950695.96491229</v>
      </c>
      <c r="Q7" s="50">
        <f t="shared" si="0"/>
        <v>38950695.96491229</v>
      </c>
      <c r="R7" s="51">
        <f t="shared" si="0"/>
        <v>38950695.96491229</v>
      </c>
    </row>
    <row r="8" spans="1:18" ht="37.5" customHeight="1">
      <c r="A8" s="317" t="s">
        <v>206</v>
      </c>
      <c r="B8" s="174" t="s">
        <v>297</v>
      </c>
      <c r="C8" s="175"/>
      <c r="D8" s="175"/>
      <c r="E8" s="176">
        <f>SUM(E9:E9:E14)</f>
        <v>5000</v>
      </c>
      <c r="F8" s="177">
        <f>SUM(F9:F9:F9:F16)</f>
        <v>4999.663157894737</v>
      </c>
      <c r="G8" s="44">
        <f>SUM(G9:G16)</f>
        <v>194753.47982456142</v>
      </c>
      <c r="H8" s="44">
        <f>G8*H4</f>
        <v>19475347.982456144</v>
      </c>
      <c r="I8" s="44">
        <f>G8*H4</f>
        <v>19475347.982456144</v>
      </c>
      <c r="J8" s="44">
        <f>G8*H4</f>
        <v>19475347.982456144</v>
      </c>
      <c r="K8" s="44"/>
      <c r="L8" s="44">
        <f>G8*L4</f>
        <v>29213021.973684214</v>
      </c>
      <c r="M8" s="44">
        <f>G8*L4</f>
        <v>29213021.973684214</v>
      </c>
      <c r="N8" s="44">
        <f>G8*L4</f>
        <v>29213021.973684214</v>
      </c>
      <c r="O8" s="44"/>
      <c r="P8" s="44">
        <f>G8*P4</f>
        <v>38950695.96491229</v>
      </c>
      <c r="Q8" s="44">
        <f>G8*P4</f>
        <v>38950695.96491229</v>
      </c>
      <c r="R8" s="52">
        <f>G8*P4</f>
        <v>38950695.96491229</v>
      </c>
    </row>
    <row r="9" spans="1:18" ht="30.75" customHeight="1">
      <c r="A9" s="317"/>
      <c r="B9" s="7" t="s">
        <v>239</v>
      </c>
      <c r="C9" s="7">
        <v>35</v>
      </c>
      <c r="D9" s="202">
        <v>0.9</v>
      </c>
      <c r="E9" s="202">
        <v>1884</v>
      </c>
      <c r="F9" s="178">
        <f>E9*(1-D9+1)</f>
        <v>2072.4</v>
      </c>
      <c r="G9" s="45">
        <f>C9*F9</f>
        <v>72534</v>
      </c>
      <c r="H9" s="46">
        <f>G9*H4</f>
        <v>7253400</v>
      </c>
      <c r="I9" s="46">
        <f>G9*H4</f>
        <v>7253400</v>
      </c>
      <c r="J9" s="46">
        <f>G9*H4</f>
        <v>7253400</v>
      </c>
      <c r="K9" s="46"/>
      <c r="L9" s="46">
        <f>G9*L4</f>
        <v>10880100</v>
      </c>
      <c r="M9" s="46">
        <f>G9*L4</f>
        <v>10880100</v>
      </c>
      <c r="N9" s="46">
        <f>G9*L4</f>
        <v>10880100</v>
      </c>
      <c r="O9" s="46"/>
      <c r="P9" s="46">
        <f>G9*P4</f>
        <v>14506800</v>
      </c>
      <c r="Q9" s="46">
        <f>G9*P4</f>
        <v>14506800</v>
      </c>
      <c r="R9" s="53">
        <f>G9*P4</f>
        <v>14506800</v>
      </c>
    </row>
    <row r="10" spans="1:18" ht="25.5">
      <c r="A10" s="317"/>
      <c r="B10" s="7" t="s">
        <v>240</v>
      </c>
      <c r="C10" s="7">
        <v>35</v>
      </c>
      <c r="D10" s="202">
        <v>0.9</v>
      </c>
      <c r="E10" s="202">
        <v>797</v>
      </c>
      <c r="F10" s="178">
        <f>E10*(1-D10+1)</f>
        <v>876.7</v>
      </c>
      <c r="G10" s="45">
        <f aca="true" t="shared" si="1" ref="G10:G16">C10*F10</f>
        <v>30684.5</v>
      </c>
      <c r="H10" s="46">
        <f>G10*H4</f>
        <v>3068450</v>
      </c>
      <c r="I10" s="46">
        <f>G10*H4</f>
        <v>3068450</v>
      </c>
      <c r="J10" s="46">
        <f>G10*H4</f>
        <v>3068450</v>
      </c>
      <c r="K10" s="46"/>
      <c r="L10" s="46">
        <f>G10*L4</f>
        <v>4602675</v>
      </c>
      <c r="M10" s="46">
        <f>G10*L4</f>
        <v>4602675</v>
      </c>
      <c r="N10" s="46">
        <f>G10*L4</f>
        <v>4602675</v>
      </c>
      <c r="O10" s="46"/>
      <c r="P10" s="46">
        <f>G10*P4</f>
        <v>6136900</v>
      </c>
      <c r="Q10" s="46">
        <f>G10*P4</f>
        <v>6136900</v>
      </c>
      <c r="R10" s="53">
        <f>G10*P4</f>
        <v>6136900</v>
      </c>
    </row>
    <row r="11" spans="1:18" ht="12.75">
      <c r="A11" s="317"/>
      <c r="B11" s="7" t="s">
        <v>258</v>
      </c>
      <c r="C11" s="7">
        <v>140</v>
      </c>
      <c r="D11" s="202">
        <v>3</v>
      </c>
      <c r="E11" s="202">
        <v>680</v>
      </c>
      <c r="F11" s="178">
        <f>E11/D11</f>
        <v>226.66666666666666</v>
      </c>
      <c r="G11" s="45">
        <f t="shared" si="1"/>
        <v>31733.333333333332</v>
      </c>
      <c r="H11" s="46">
        <f>G11*H4</f>
        <v>3173333.333333333</v>
      </c>
      <c r="I11" s="46">
        <f>G11*H4</f>
        <v>3173333.333333333</v>
      </c>
      <c r="J11" s="46">
        <f>G11*H4</f>
        <v>3173333.333333333</v>
      </c>
      <c r="K11" s="46"/>
      <c r="L11" s="46">
        <f>G11*L4</f>
        <v>4760000</v>
      </c>
      <c r="M11" s="46">
        <f>G11*L4</f>
        <v>4760000</v>
      </c>
      <c r="N11" s="46">
        <f>G11*L4</f>
        <v>4760000</v>
      </c>
      <c r="O11" s="46"/>
      <c r="P11" s="46">
        <f>G11*P4</f>
        <v>6346666.666666666</v>
      </c>
      <c r="Q11" s="46">
        <f>G11*P4</f>
        <v>6346666.666666666</v>
      </c>
      <c r="R11" s="53">
        <f>G11*P4</f>
        <v>6346666.666666666</v>
      </c>
    </row>
    <row r="12" spans="1:18" ht="12.75">
      <c r="A12" s="317"/>
      <c r="B12" s="7" t="s">
        <v>259</v>
      </c>
      <c r="C12" s="7">
        <v>190</v>
      </c>
      <c r="D12" s="202">
        <v>4</v>
      </c>
      <c r="E12" s="202">
        <v>507</v>
      </c>
      <c r="F12" s="178">
        <f>E12/D12</f>
        <v>126.75</v>
      </c>
      <c r="G12" s="45">
        <f t="shared" si="1"/>
        <v>24082.5</v>
      </c>
      <c r="H12" s="46">
        <f>G12*H4</f>
        <v>2408250</v>
      </c>
      <c r="I12" s="46">
        <f>G12*H4</f>
        <v>2408250</v>
      </c>
      <c r="J12" s="46">
        <f>G12*H4</f>
        <v>2408250</v>
      </c>
      <c r="K12" s="46"/>
      <c r="L12" s="46">
        <f>G12*L4</f>
        <v>3612375</v>
      </c>
      <c r="M12" s="46">
        <f>G12*L4</f>
        <v>3612375</v>
      </c>
      <c r="N12" s="46">
        <f>G12*L4</f>
        <v>3612375</v>
      </c>
      <c r="O12" s="46"/>
      <c r="P12" s="46">
        <f>G12*P4</f>
        <v>4816500</v>
      </c>
      <c r="Q12" s="46">
        <f>G12*P4</f>
        <v>4816500</v>
      </c>
      <c r="R12" s="53">
        <f>G12*P4</f>
        <v>4816500</v>
      </c>
    </row>
    <row r="13" spans="1:18" ht="12.75">
      <c r="A13" s="317"/>
      <c r="B13" s="7" t="s">
        <v>241</v>
      </c>
      <c r="C13" s="7">
        <v>250</v>
      </c>
      <c r="D13" s="202">
        <v>6</v>
      </c>
      <c r="E13" s="202">
        <v>500</v>
      </c>
      <c r="F13" s="178">
        <f>E13/D13</f>
        <v>83.33333333333333</v>
      </c>
      <c r="G13" s="45">
        <f t="shared" si="1"/>
        <v>20833.333333333332</v>
      </c>
      <c r="H13" s="46">
        <f>G13*H4</f>
        <v>2083333.3333333333</v>
      </c>
      <c r="I13" s="46">
        <f>G13*H4</f>
        <v>2083333.3333333333</v>
      </c>
      <c r="J13" s="46">
        <f>G13*H4</f>
        <v>2083333.3333333333</v>
      </c>
      <c r="K13" s="46"/>
      <c r="L13" s="46">
        <f>G13*L4</f>
        <v>3125000</v>
      </c>
      <c r="M13" s="46">
        <f>G13*L4</f>
        <v>3125000</v>
      </c>
      <c r="N13" s="46">
        <f>G13*L4</f>
        <v>3125000</v>
      </c>
      <c r="O13" s="46"/>
      <c r="P13" s="46">
        <f>G13*P4</f>
        <v>4166666.6666666665</v>
      </c>
      <c r="Q13" s="46">
        <f>G13*P4</f>
        <v>4166666.6666666665</v>
      </c>
      <c r="R13" s="53">
        <f>G13*P4</f>
        <v>4166666.6666666665</v>
      </c>
    </row>
    <row r="14" spans="1:18" ht="25.5">
      <c r="A14" s="317"/>
      <c r="B14" s="7" t="s">
        <v>242</v>
      </c>
      <c r="C14" s="7">
        <v>400</v>
      </c>
      <c r="D14" s="202">
        <v>19</v>
      </c>
      <c r="E14" s="202">
        <v>632</v>
      </c>
      <c r="F14" s="178">
        <f>E14/D14</f>
        <v>33.26315789473684</v>
      </c>
      <c r="G14" s="45">
        <f t="shared" si="1"/>
        <v>13305.263157894737</v>
      </c>
      <c r="H14" s="46">
        <f>G14*H4</f>
        <v>1330526.3157894737</v>
      </c>
      <c r="I14" s="46">
        <f>G14*H4</f>
        <v>1330526.3157894737</v>
      </c>
      <c r="J14" s="46">
        <f>G14*H4</f>
        <v>1330526.3157894737</v>
      </c>
      <c r="K14" s="46"/>
      <c r="L14" s="46">
        <f>G14*L4</f>
        <v>1995789.4736842106</v>
      </c>
      <c r="M14" s="46">
        <f>G14*L4</f>
        <v>1995789.4736842106</v>
      </c>
      <c r="N14" s="46">
        <f>G14*L4</f>
        <v>1995789.4736842106</v>
      </c>
      <c r="O14" s="46"/>
      <c r="P14" s="46">
        <f>G14*P4</f>
        <v>2661052.6315789474</v>
      </c>
      <c r="Q14" s="46">
        <f>G14*P4</f>
        <v>2661052.6315789474</v>
      </c>
      <c r="R14" s="53">
        <f>G14*P4</f>
        <v>2661052.6315789474</v>
      </c>
    </row>
    <row r="15" spans="1:18" ht="12.75">
      <c r="A15" s="317"/>
      <c r="B15" s="7" t="s">
        <v>243</v>
      </c>
      <c r="C15" s="7">
        <v>1</v>
      </c>
      <c r="D15" s="202">
        <v>0</v>
      </c>
      <c r="E15" s="202">
        <v>1493</v>
      </c>
      <c r="F15" s="178">
        <f>E15</f>
        <v>1493</v>
      </c>
      <c r="G15" s="45">
        <f t="shared" si="1"/>
        <v>1493</v>
      </c>
      <c r="H15" s="46">
        <f>G15*H4</f>
        <v>149300</v>
      </c>
      <c r="I15" s="46">
        <f>G15*H4</f>
        <v>149300</v>
      </c>
      <c r="J15" s="46">
        <f>G15*H4</f>
        <v>149300</v>
      </c>
      <c r="K15" s="46"/>
      <c r="L15" s="46">
        <f>G15*L4</f>
        <v>223950</v>
      </c>
      <c r="M15" s="46">
        <f>G15*L4</f>
        <v>223950</v>
      </c>
      <c r="N15" s="46">
        <f>G15*L4</f>
        <v>223950</v>
      </c>
      <c r="O15" s="46"/>
      <c r="P15" s="46">
        <f>G15*P4</f>
        <v>298600</v>
      </c>
      <c r="Q15" s="46">
        <f>G15*P4</f>
        <v>298600</v>
      </c>
      <c r="R15" s="53">
        <f>G15*P4</f>
        <v>298600</v>
      </c>
    </row>
    <row r="16" spans="1:18" ht="12.75">
      <c r="A16" s="317"/>
      <c r="B16" s="7" t="s">
        <v>244</v>
      </c>
      <c r="C16" s="7">
        <v>1</v>
      </c>
      <c r="D16" s="202">
        <v>0</v>
      </c>
      <c r="E16" s="202">
        <v>87.55</v>
      </c>
      <c r="F16" s="178">
        <f>E16</f>
        <v>87.55</v>
      </c>
      <c r="G16" s="45">
        <f t="shared" si="1"/>
        <v>87.55</v>
      </c>
      <c r="H16" s="46">
        <f>G16*H4</f>
        <v>8755</v>
      </c>
      <c r="I16" s="46">
        <f>G16*H4</f>
        <v>8755</v>
      </c>
      <c r="J16" s="46">
        <f>G16*H4</f>
        <v>8755</v>
      </c>
      <c r="K16" s="46"/>
      <c r="L16" s="46">
        <f>G16*L4</f>
        <v>13132.5</v>
      </c>
      <c r="M16" s="46">
        <f>G16*L4</f>
        <v>13132.5</v>
      </c>
      <c r="N16" s="46">
        <f>G16*L4</f>
        <v>13132.5</v>
      </c>
      <c r="O16" s="46"/>
      <c r="P16" s="46">
        <f>G16*P4</f>
        <v>17510</v>
      </c>
      <c r="Q16" s="46">
        <f>G16*P4</f>
        <v>17510</v>
      </c>
      <c r="R16" s="53">
        <f>G16*P4</f>
        <v>17510</v>
      </c>
    </row>
    <row r="17" spans="2:18" ht="12.75">
      <c r="B17" s="179" t="s">
        <v>101</v>
      </c>
      <c r="C17" s="180"/>
      <c r="D17" s="180"/>
      <c r="E17" s="180"/>
      <c r="F17" s="181"/>
      <c r="G17" s="47"/>
      <c r="H17" s="48">
        <f>H18+H19+H20+H21+H22+H23+H24</f>
        <v>17112368</v>
      </c>
      <c r="I17" s="48">
        <f>I18+I19+I20+I21+I22+I23+I24</f>
        <v>17112368</v>
      </c>
      <c r="J17" s="48">
        <f>J18+J19+J20+J21+J22+J23+J24</f>
        <v>17112368</v>
      </c>
      <c r="K17" s="48"/>
      <c r="L17" s="48">
        <f>L18+L19+L20+L21+L22+L23+L24</f>
        <v>26824848</v>
      </c>
      <c r="M17" s="48">
        <f>M18+M19+M20+M21+M22+M23+M24</f>
        <v>26824848</v>
      </c>
      <c r="N17" s="48">
        <f>N18+N19+N20+N21+N22+N23+N24</f>
        <v>26824848</v>
      </c>
      <c r="O17" s="48"/>
      <c r="P17" s="48">
        <f>P18+P19+P20+P21+P22+P23+P24</f>
        <v>36531088</v>
      </c>
      <c r="Q17" s="48">
        <f>Q18+Q19+Q20+Q21+Q22+Q23+Q24</f>
        <v>36531088</v>
      </c>
      <c r="R17" s="54">
        <f>R18+R19+R20+R21+R22+R23+R24</f>
        <v>36531088</v>
      </c>
    </row>
    <row r="18" spans="1:18" ht="25.5" customHeight="1">
      <c r="A18" s="132" t="s">
        <v>207</v>
      </c>
      <c r="B18" s="182" t="s">
        <v>249</v>
      </c>
      <c r="C18" s="203">
        <v>27</v>
      </c>
      <c r="D18" s="183"/>
      <c r="E18" s="183"/>
      <c r="F18" s="184"/>
      <c r="G18" s="112"/>
      <c r="H18" s="49">
        <f>C18*E8*H4</f>
        <v>13500000</v>
      </c>
      <c r="I18" s="49">
        <f>C18*E8*H4</f>
        <v>13500000</v>
      </c>
      <c r="J18" s="49">
        <f>C18*E8*H4</f>
        <v>13500000</v>
      </c>
      <c r="K18" s="203">
        <v>29.5</v>
      </c>
      <c r="L18" s="49">
        <f>K18*E8*L4</f>
        <v>22125000</v>
      </c>
      <c r="M18" s="49">
        <f>K18*E8*L4</f>
        <v>22125000</v>
      </c>
      <c r="N18" s="49">
        <f>K18*E8*L4</f>
        <v>22125000</v>
      </c>
      <c r="O18" s="203">
        <v>30.9</v>
      </c>
      <c r="P18" s="49">
        <f>O18*E8*P4</f>
        <v>30900000</v>
      </c>
      <c r="Q18" s="49">
        <f>O18*E8*P4</f>
        <v>30900000</v>
      </c>
      <c r="R18" s="55">
        <f>O18*E8*P4</f>
        <v>30900000</v>
      </c>
    </row>
    <row r="19" spans="2:18" ht="18.75" customHeight="1">
      <c r="B19" s="182" t="s">
        <v>106</v>
      </c>
      <c r="C19" s="185"/>
      <c r="D19" s="185"/>
      <c r="E19" s="185"/>
      <c r="F19" s="185"/>
      <c r="G19" s="49"/>
      <c r="H19" s="49">
        <f>'Доходы-расходы СХК'!F11</f>
        <v>2062368</v>
      </c>
      <c r="I19" s="49">
        <f>'Доходы-расходы СХК'!F11</f>
        <v>2062368</v>
      </c>
      <c r="J19" s="49">
        <f>'Доходы-расходы СХК'!F11</f>
        <v>2062368</v>
      </c>
      <c r="K19" s="49"/>
      <c r="L19" s="49">
        <f>'Доходы-расходы СХК'!F19</f>
        <v>2374848</v>
      </c>
      <c r="M19" s="49">
        <f>'Доходы-расходы СХК'!F19</f>
        <v>2374848</v>
      </c>
      <c r="N19" s="49">
        <f>'Доходы-расходы СХК'!F19</f>
        <v>2374848</v>
      </c>
      <c r="O19" s="49"/>
      <c r="P19" s="49">
        <f>'Доходы-расходы СХК'!F28</f>
        <v>2531088</v>
      </c>
      <c r="Q19" s="49">
        <f>'Доходы-расходы СХК'!F28</f>
        <v>2531088</v>
      </c>
      <c r="R19" s="55">
        <f>'Доходы-расходы СХК'!F28</f>
        <v>2531088</v>
      </c>
    </row>
    <row r="20" spans="1:18" ht="18.75" customHeight="1">
      <c r="A20" s="353" t="s">
        <v>208</v>
      </c>
      <c r="B20" s="7" t="s">
        <v>72</v>
      </c>
      <c r="C20" s="185"/>
      <c r="D20" s="185"/>
      <c r="E20" s="185"/>
      <c r="F20" s="185"/>
      <c r="G20" s="49"/>
      <c r="H20" s="7"/>
      <c r="I20" s="7"/>
      <c r="J20" s="7"/>
      <c r="K20" s="49"/>
      <c r="L20" s="7"/>
      <c r="M20" s="7"/>
      <c r="N20" s="7"/>
      <c r="O20" s="49"/>
      <c r="P20" s="7"/>
      <c r="Q20" s="7"/>
      <c r="R20" s="7"/>
    </row>
    <row r="21" spans="1:18" ht="18.75" customHeight="1">
      <c r="A21" s="353"/>
      <c r="B21" s="7" t="s">
        <v>72</v>
      </c>
      <c r="C21" s="186"/>
      <c r="D21" s="186"/>
      <c r="E21" s="186"/>
      <c r="F21" s="186"/>
      <c r="G21" s="187"/>
      <c r="H21" s="7"/>
      <c r="I21" s="7"/>
      <c r="J21" s="7"/>
      <c r="K21" s="187"/>
      <c r="L21" s="7"/>
      <c r="M21" s="7"/>
      <c r="N21" s="7"/>
      <c r="O21" s="187"/>
      <c r="P21" s="7"/>
      <c r="Q21" s="7"/>
      <c r="R21" s="7"/>
    </row>
    <row r="22" spans="1:18" ht="18.75" customHeight="1">
      <c r="A22" s="353"/>
      <c r="B22" s="7" t="s">
        <v>248</v>
      </c>
      <c r="C22" s="185"/>
      <c r="D22" s="185"/>
      <c r="E22" s="185"/>
      <c r="F22" s="185"/>
      <c r="G22" s="49"/>
      <c r="H22" s="7">
        <v>300000</v>
      </c>
      <c r="I22" s="7">
        <v>300000</v>
      </c>
      <c r="J22" s="7">
        <v>300000</v>
      </c>
      <c r="K22" s="49"/>
      <c r="L22" s="7">
        <v>450000</v>
      </c>
      <c r="M22" s="7">
        <v>450000</v>
      </c>
      <c r="N22" s="7">
        <v>450000</v>
      </c>
      <c r="O22" s="49"/>
      <c r="P22" s="7">
        <v>600000</v>
      </c>
      <c r="Q22" s="7">
        <v>600000</v>
      </c>
      <c r="R22" s="7">
        <v>600000</v>
      </c>
    </row>
    <row r="23" spans="1:18" ht="16.5" customHeight="1">
      <c r="A23" s="132" t="s">
        <v>209</v>
      </c>
      <c r="B23" s="7" t="s">
        <v>215</v>
      </c>
      <c r="C23" s="188"/>
      <c r="D23" s="188"/>
      <c r="E23" s="188"/>
      <c r="F23" s="188"/>
      <c r="G23" s="45"/>
      <c r="H23" s="7">
        <v>250000</v>
      </c>
      <c r="I23" s="7">
        <v>250000</v>
      </c>
      <c r="J23" s="7">
        <v>250000</v>
      </c>
      <c r="K23" s="45"/>
      <c r="L23" s="7">
        <v>375000</v>
      </c>
      <c r="M23" s="7">
        <v>375000</v>
      </c>
      <c r="N23" s="7">
        <v>375000</v>
      </c>
      <c r="O23" s="45"/>
      <c r="P23" s="7">
        <v>500000</v>
      </c>
      <c r="Q23" s="7">
        <v>500000</v>
      </c>
      <c r="R23" s="7">
        <v>500000</v>
      </c>
    </row>
    <row r="24" spans="1:18" ht="51.75" customHeight="1">
      <c r="A24" s="132" t="s">
        <v>210</v>
      </c>
      <c r="B24" s="7" t="s">
        <v>96</v>
      </c>
      <c r="C24" s="189"/>
      <c r="D24" s="189"/>
      <c r="E24" s="189"/>
      <c r="F24" s="189"/>
      <c r="G24" s="190"/>
      <c r="H24" s="7">
        <v>1000000</v>
      </c>
      <c r="I24" s="7">
        <v>1000000</v>
      </c>
      <c r="J24" s="7">
        <v>1000000</v>
      </c>
      <c r="K24" s="45"/>
      <c r="L24" s="7">
        <v>1500000</v>
      </c>
      <c r="M24" s="7">
        <v>1500000</v>
      </c>
      <c r="N24" s="7">
        <v>1500000</v>
      </c>
      <c r="O24" s="45"/>
      <c r="P24" s="7">
        <v>2000000</v>
      </c>
      <c r="Q24" s="7">
        <v>2000000</v>
      </c>
      <c r="R24" s="7">
        <v>2000000</v>
      </c>
    </row>
    <row r="25" spans="2:18" ht="13.5" thickBot="1">
      <c r="B25" s="191" t="s">
        <v>102</v>
      </c>
      <c r="C25" s="192"/>
      <c r="D25" s="192"/>
      <c r="E25" s="192"/>
      <c r="F25" s="192"/>
      <c r="G25" s="193">
        <v>0.06</v>
      </c>
      <c r="H25" s="114">
        <f>(H7-H17)*G25</f>
        <v>141778.79894736863</v>
      </c>
      <c r="I25" s="114">
        <f>(I7-I17)*G25</f>
        <v>141778.79894736863</v>
      </c>
      <c r="J25" s="114">
        <f>(J7-J17)*G25</f>
        <v>141778.79894736863</v>
      </c>
      <c r="K25" s="56"/>
      <c r="L25" s="114">
        <f>(L7-L17)*G25</f>
        <v>143290.43842105285</v>
      </c>
      <c r="M25" s="114">
        <f>(M7-M17)*G25</f>
        <v>143290.43842105285</v>
      </c>
      <c r="N25" s="114">
        <f>(N7-N17)*G25</f>
        <v>143290.43842105285</v>
      </c>
      <c r="O25" s="56"/>
      <c r="P25" s="114">
        <f>(P7-P17)*G25</f>
        <v>145176.47789473727</v>
      </c>
      <c r="Q25" s="114">
        <f>(Q7-Q17)*G25</f>
        <v>145176.47789473727</v>
      </c>
      <c r="R25" s="115">
        <f>(R7-R17)*G25</f>
        <v>145176.47789473727</v>
      </c>
    </row>
    <row r="26" spans="2:18" ht="13.5" thickBot="1">
      <c r="B26" s="194" t="s">
        <v>103</v>
      </c>
      <c r="C26" s="195"/>
      <c r="D26" s="195"/>
      <c r="E26" s="195"/>
      <c r="F26" s="195"/>
      <c r="G26" s="195"/>
      <c r="H26" s="57">
        <f>H7-H17-H25</f>
        <v>2221201.183508775</v>
      </c>
      <c r="I26" s="57">
        <f>I7-I17-I25</f>
        <v>2221201.183508775</v>
      </c>
      <c r="J26" s="57">
        <f>J7-J17-J25</f>
        <v>2221201.183508775</v>
      </c>
      <c r="K26" s="57"/>
      <c r="L26" s="57">
        <f>L7-L17-L25</f>
        <v>2244883.535263161</v>
      </c>
      <c r="M26" s="57">
        <f>M7-M17-M25</f>
        <v>2244883.535263161</v>
      </c>
      <c r="N26" s="57">
        <f>N7-N17-N25</f>
        <v>2244883.535263161</v>
      </c>
      <c r="O26" s="57"/>
      <c r="P26" s="57">
        <f>P7-P17-P25</f>
        <v>2274431.4870175505</v>
      </c>
      <c r="Q26" s="57">
        <f>Q7-Q17-Q25</f>
        <v>2274431.4870175505</v>
      </c>
      <c r="R26" s="58">
        <f>R7-R17-R25</f>
        <v>2274431.4870175505</v>
      </c>
    </row>
    <row r="27" spans="1:18" ht="54" customHeight="1">
      <c r="A27" s="132" t="s">
        <v>211</v>
      </c>
      <c r="B27" s="196" t="s">
        <v>202</v>
      </c>
      <c r="C27" s="197"/>
      <c r="D27" s="197"/>
      <c r="E27" s="197"/>
      <c r="F27" s="197"/>
      <c r="G27" s="8">
        <v>0.1</v>
      </c>
      <c r="H27" s="59">
        <f>H6*G27</f>
        <v>1891400</v>
      </c>
      <c r="I27" s="59">
        <v>0</v>
      </c>
      <c r="J27" s="59">
        <v>0</v>
      </c>
      <c r="K27" s="59"/>
      <c r="L27" s="59">
        <f>L6*G27</f>
        <v>1891400</v>
      </c>
      <c r="M27" s="59"/>
      <c r="N27" s="59"/>
      <c r="O27" s="59"/>
      <c r="P27" s="59">
        <f>P6*G27</f>
        <v>1891400</v>
      </c>
      <c r="Q27" s="59"/>
      <c r="R27" s="60"/>
    </row>
    <row r="28" spans="2:18" ht="15.75" customHeight="1">
      <c r="B28" s="179" t="s">
        <v>204</v>
      </c>
      <c r="C28" s="180"/>
      <c r="D28" s="180"/>
      <c r="E28" s="180"/>
      <c r="F28" s="180"/>
      <c r="G28" s="180"/>
      <c r="H28" s="61">
        <f>H6-H27</f>
        <v>17022600</v>
      </c>
      <c r="I28" s="61">
        <v>0</v>
      </c>
      <c r="J28" s="61">
        <v>0</v>
      </c>
      <c r="K28" s="61"/>
      <c r="L28" s="61">
        <f>L6-L27</f>
        <v>17022600</v>
      </c>
      <c r="M28" s="61">
        <v>0</v>
      </c>
      <c r="N28" s="61">
        <v>0</v>
      </c>
      <c r="O28" s="61"/>
      <c r="P28" s="61">
        <f>P6-P27</f>
        <v>17022600</v>
      </c>
      <c r="Q28" s="61">
        <v>0</v>
      </c>
      <c r="R28" s="62">
        <v>0</v>
      </c>
    </row>
    <row r="29" spans="1:18" ht="43.5" customHeight="1">
      <c r="A29" s="132" t="s">
        <v>212</v>
      </c>
      <c r="B29" s="179" t="s">
        <v>203</v>
      </c>
      <c r="C29" s="180"/>
      <c r="D29" s="180"/>
      <c r="E29" s="180"/>
      <c r="F29" s="180"/>
      <c r="G29" s="121">
        <v>0.6</v>
      </c>
      <c r="H29" s="61">
        <f>G29*H6</f>
        <v>11348400</v>
      </c>
      <c r="I29" s="61"/>
      <c r="J29" s="61"/>
      <c r="K29" s="61"/>
      <c r="L29" s="63">
        <f>G29*L6</f>
        <v>11348400</v>
      </c>
      <c r="M29" s="61"/>
      <c r="N29" s="61"/>
      <c r="O29" s="61"/>
      <c r="P29" s="63">
        <f>G29*P6</f>
        <v>11348400</v>
      </c>
      <c r="Q29" s="61"/>
      <c r="R29" s="62"/>
    </row>
    <row r="30" spans="1:18" ht="76.5">
      <c r="A30" s="132" t="s">
        <v>302</v>
      </c>
      <c r="B30" s="179" t="s">
        <v>315</v>
      </c>
      <c r="C30" s="180"/>
      <c r="D30" s="180"/>
      <c r="E30" s="180"/>
      <c r="F30" s="180"/>
      <c r="G30" s="43">
        <v>0</v>
      </c>
      <c r="H30" s="64">
        <f>MAX(0,H6-(H27+H29)+G30)</f>
        <v>5674200</v>
      </c>
      <c r="I30" s="64"/>
      <c r="J30" s="64"/>
      <c r="K30" s="64"/>
      <c r="L30" s="64">
        <f>MAX(0,L6-(L27+L29)+G30)</f>
        <v>5674200</v>
      </c>
      <c r="M30" s="64"/>
      <c r="N30" s="64"/>
      <c r="O30" s="64"/>
      <c r="P30" s="64">
        <f>MAX(0,P6-(P27+P29)+G30)</f>
        <v>5674200</v>
      </c>
      <c r="Q30" s="64"/>
      <c r="R30" s="65"/>
    </row>
    <row r="31" spans="2:18" ht="25.5">
      <c r="B31" s="179" t="s">
        <v>104</v>
      </c>
      <c r="C31" s="180"/>
      <c r="D31" s="180"/>
      <c r="E31" s="180"/>
      <c r="F31" s="180"/>
      <c r="G31" s="180"/>
      <c r="H31" s="66">
        <f>SUM('График погашения кредита'!F5:F16)</f>
        <v>2123884.5833333335</v>
      </c>
      <c r="I31" s="66">
        <f>SUM('График погашения кредита'!F17:F28)</f>
        <v>2029314.583333333</v>
      </c>
      <c r="J31" s="66">
        <f>SUM('График погашения кредита'!F29:F40)</f>
        <v>1934744.583333333</v>
      </c>
      <c r="K31" s="66"/>
      <c r="L31" s="66">
        <f>(L30/3)+(L30*5%)</f>
        <v>2175110</v>
      </c>
      <c r="M31" s="66">
        <f>(L30/3)+(L30-(L30/3))*5%</f>
        <v>2080540</v>
      </c>
      <c r="N31" s="66">
        <f>(L30/3)+(L30-(L30*0.67))*5%</f>
        <v>1985024.3</v>
      </c>
      <c r="O31" s="66"/>
      <c r="P31" s="66">
        <f>(P30/3)+(P30*5%)</f>
        <v>2175110</v>
      </c>
      <c r="Q31" s="66">
        <f>(P30/3)+(P30-(P30/3))*5%</f>
        <v>2080540</v>
      </c>
      <c r="R31" s="67">
        <f>(P30/3)+(P30-(P30*0.67))*5%</f>
        <v>1985024.3</v>
      </c>
    </row>
    <row r="32" spans="2:18" ht="13.5" thickBot="1">
      <c r="B32" s="198" t="s">
        <v>109</v>
      </c>
      <c r="C32" s="199"/>
      <c r="D32" s="199"/>
      <c r="E32" s="199"/>
      <c r="F32" s="199"/>
      <c r="G32" s="199"/>
      <c r="H32" s="68">
        <f>H26-H31</f>
        <v>97316.60017544171</v>
      </c>
      <c r="I32" s="68">
        <f>I26-I31</f>
        <v>191886.60017544217</v>
      </c>
      <c r="J32" s="68">
        <f>J26-J31</f>
        <v>286456.6001754422</v>
      </c>
      <c r="K32" s="68"/>
      <c r="L32" s="68">
        <f>L26-L31</f>
        <v>69773.53526316117</v>
      </c>
      <c r="M32" s="68">
        <f aca="true" t="shared" si="2" ref="M32:R32">M26-M31</f>
        <v>164343.53526316117</v>
      </c>
      <c r="N32" s="68">
        <f t="shared" si="2"/>
        <v>259859.23526316113</v>
      </c>
      <c r="O32" s="68"/>
      <c r="P32" s="68">
        <f t="shared" si="2"/>
        <v>99321.4870175505</v>
      </c>
      <c r="Q32" s="68">
        <f t="shared" si="2"/>
        <v>193891.4870175505</v>
      </c>
      <c r="R32" s="69">
        <f t="shared" si="2"/>
        <v>289407.18701755046</v>
      </c>
    </row>
    <row r="36" spans="1:2" ht="25.5">
      <c r="A36" s="200"/>
      <c r="B36" s="201" t="s">
        <v>121</v>
      </c>
    </row>
  </sheetData>
  <sheetProtection/>
  <mergeCells count="15">
    <mergeCell ref="B1:R2"/>
    <mergeCell ref="B3:B5"/>
    <mergeCell ref="C3:C5"/>
    <mergeCell ref="D3:D5"/>
    <mergeCell ref="G3:G5"/>
    <mergeCell ref="H3:R3"/>
    <mergeCell ref="K4:K5"/>
    <mergeCell ref="H6:J6"/>
    <mergeCell ref="L6:N6"/>
    <mergeCell ref="P6:R6"/>
    <mergeCell ref="O4:O5"/>
    <mergeCell ref="A20:A22"/>
    <mergeCell ref="A8:A16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41"/>
  <sheetViews>
    <sheetView zoomScalePageLayoutView="0" workbookViewId="0" topLeftCell="A1">
      <selection activeCell="B23" sqref="B23:C23"/>
    </sheetView>
  </sheetViews>
  <sheetFormatPr defaultColWidth="9.140625" defaultRowHeight="12.75"/>
  <cols>
    <col min="1" max="1" width="9.140625" style="73" customWidth="1"/>
    <col min="2" max="2" width="40.00390625" style="73" customWidth="1"/>
    <col min="3" max="3" width="12.28125" style="73" customWidth="1"/>
    <col min="4" max="4" width="31.8515625" style="73" customWidth="1"/>
    <col min="5" max="7" width="30.00390625" style="73" customWidth="1"/>
    <col min="8" max="16384" width="9.140625" style="73" customWidth="1"/>
  </cols>
  <sheetData>
    <row r="1" ht="12.75"/>
    <row r="2" spans="1:4" ht="19.5" customHeight="1">
      <c r="A2" s="132" t="s">
        <v>169</v>
      </c>
      <c r="B2" s="74" t="s">
        <v>168</v>
      </c>
      <c r="C2" s="370" t="s">
        <v>260</v>
      </c>
      <c r="D2" s="370"/>
    </row>
    <row r="3" ht="12.75"/>
    <row r="4" spans="2:3" ht="18.75">
      <c r="B4" s="204" t="s">
        <v>0</v>
      </c>
      <c r="C4" s="204"/>
    </row>
    <row r="6" spans="2:6" ht="25.5">
      <c r="B6" s="363" t="s">
        <v>1</v>
      </c>
      <c r="C6" s="363" t="s">
        <v>74</v>
      </c>
      <c r="D6" s="205" t="s">
        <v>2</v>
      </c>
      <c r="E6" s="205" t="s">
        <v>3</v>
      </c>
      <c r="F6" s="206" t="s">
        <v>263</v>
      </c>
    </row>
    <row r="7" spans="2:6" ht="12.75">
      <c r="B7" s="363"/>
      <c r="C7" s="363"/>
      <c r="D7" s="205" t="s">
        <v>74</v>
      </c>
      <c r="E7" s="205" t="s">
        <v>4</v>
      </c>
      <c r="F7" s="205" t="s">
        <v>167</v>
      </c>
    </row>
    <row r="8" spans="1:6" ht="25.5" customHeight="1">
      <c r="A8" s="132" t="s">
        <v>170</v>
      </c>
      <c r="B8" s="83" t="s">
        <v>73</v>
      </c>
      <c r="C8" s="79"/>
      <c r="D8" s="3">
        <v>350000</v>
      </c>
      <c r="E8" s="207">
        <v>1</v>
      </c>
      <c r="F8" s="35">
        <v>233.1</v>
      </c>
    </row>
    <row r="10" spans="2:3" ht="18.75">
      <c r="B10" s="204" t="s">
        <v>76</v>
      </c>
      <c r="C10" s="204"/>
    </row>
    <row r="12" spans="2:7" ht="12.75">
      <c r="B12" s="363" t="s">
        <v>75</v>
      </c>
      <c r="C12" s="205" t="s">
        <v>124</v>
      </c>
      <c r="D12" s="363" t="s">
        <v>125</v>
      </c>
      <c r="E12" s="363"/>
      <c r="F12" s="205" t="s">
        <v>264</v>
      </c>
      <c r="G12" s="205" t="s">
        <v>81</v>
      </c>
    </row>
    <row r="13" spans="2:7" ht="12.75">
      <c r="B13" s="363"/>
      <c r="C13" s="205"/>
      <c r="D13" s="205" t="s">
        <v>126</v>
      </c>
      <c r="E13" s="205" t="s">
        <v>127</v>
      </c>
      <c r="F13" s="205" t="s">
        <v>5</v>
      </c>
      <c r="G13" s="205"/>
    </row>
    <row r="14" spans="1:7" ht="24" customHeight="1">
      <c r="A14" s="132" t="s">
        <v>171</v>
      </c>
      <c r="B14" s="96" t="s">
        <v>178</v>
      </c>
      <c r="C14" s="214">
        <v>0.7</v>
      </c>
      <c r="D14" s="208">
        <f>E14/365</f>
        <v>156464.38356164383</v>
      </c>
      <c r="E14" s="208">
        <f>(D8*F8)*C14</f>
        <v>57109500</v>
      </c>
      <c r="F14" s="34">
        <f>'Финансовый план СХК'!G8/'Финансовый план СХК'!F8</f>
        <v>38.953320188588144</v>
      </c>
      <c r="G14" s="209">
        <f>E14*F14</f>
        <v>2224604639.3101745</v>
      </c>
    </row>
    <row r="15" spans="1:7" ht="26.25" customHeight="1">
      <c r="A15" s="132" t="s">
        <v>172</v>
      </c>
      <c r="B15" s="96" t="s">
        <v>177</v>
      </c>
      <c r="C15" s="214">
        <v>0.3</v>
      </c>
      <c r="D15" s="208">
        <f>E15/365</f>
        <v>67056.16438356164</v>
      </c>
      <c r="E15" s="208">
        <f>(D8*F8)*C15</f>
        <v>24475500</v>
      </c>
      <c r="F15" s="34">
        <f>'Финансовый план СХК'!G8/'Финансовый план СХК'!F8</f>
        <v>38.953320188588144</v>
      </c>
      <c r="G15" s="209">
        <f>E15*F15</f>
        <v>953401988.2757891</v>
      </c>
    </row>
    <row r="16" spans="2:7" ht="12.75">
      <c r="B16" s="210" t="s">
        <v>91</v>
      </c>
      <c r="C16" s="211">
        <f>C14+C15</f>
        <v>1</v>
      </c>
      <c r="D16" s="80">
        <f>SUM(D14:D15)</f>
        <v>223520.54794520547</v>
      </c>
      <c r="E16" s="80">
        <f>SUM(E14:E15)</f>
        <v>81585000</v>
      </c>
      <c r="F16" s="129"/>
      <c r="G16" s="212">
        <f>SUM(G14:G15)</f>
        <v>3178006627.5859637</v>
      </c>
    </row>
    <row r="19" spans="2:3" ht="23.25">
      <c r="B19" s="74" t="s">
        <v>78</v>
      </c>
      <c r="C19" s="74"/>
    </row>
    <row r="20" spans="2:6" ht="12.75">
      <c r="B20" s="366" t="s">
        <v>6</v>
      </c>
      <c r="C20" s="367"/>
      <c r="D20" s="362" t="s">
        <v>7</v>
      </c>
      <c r="E20" s="362" t="s">
        <v>77</v>
      </c>
      <c r="F20" s="362" t="s">
        <v>79</v>
      </c>
    </row>
    <row r="21" spans="2:6" ht="12.75">
      <c r="B21" s="368"/>
      <c r="C21" s="369"/>
      <c r="D21" s="362"/>
      <c r="E21" s="362"/>
      <c r="F21" s="362"/>
    </row>
    <row r="22" spans="1:6" s="91" customFormat="1" ht="12.75">
      <c r="A22" s="371" t="s">
        <v>173</v>
      </c>
      <c r="B22" s="364" t="s">
        <v>261</v>
      </c>
      <c r="C22" s="365"/>
      <c r="D22" s="215"/>
      <c r="E22" s="216"/>
      <c r="F22" s="216" t="s">
        <v>80</v>
      </c>
    </row>
    <row r="23" spans="1:6" s="91" customFormat="1" ht="12.75">
      <c r="A23" s="372"/>
      <c r="B23" s="364" t="s">
        <v>261</v>
      </c>
      <c r="C23" s="365"/>
      <c r="D23" s="215"/>
      <c r="E23" s="216"/>
      <c r="F23" s="216" t="s">
        <v>80</v>
      </c>
    </row>
    <row r="24" spans="1:6" s="91" customFormat="1" ht="12.75">
      <c r="A24" s="372"/>
      <c r="B24" s="364" t="s">
        <v>262</v>
      </c>
      <c r="C24" s="365"/>
      <c r="D24" s="215"/>
      <c r="E24" s="216"/>
      <c r="F24" s="216" t="s">
        <v>8</v>
      </c>
    </row>
    <row r="25" spans="1:6" s="91" customFormat="1" ht="12.75">
      <c r="A25" s="372"/>
      <c r="B25" s="364" t="s">
        <v>262</v>
      </c>
      <c r="C25" s="365"/>
      <c r="D25" s="215"/>
      <c r="E25" s="216"/>
      <c r="F25" s="216" t="s">
        <v>80</v>
      </c>
    </row>
    <row r="26" spans="1:6" s="91" customFormat="1" ht="12.75">
      <c r="A26" s="372"/>
      <c r="B26" s="364" t="s">
        <v>262</v>
      </c>
      <c r="C26" s="365"/>
      <c r="D26" s="215"/>
      <c r="E26" s="216"/>
      <c r="F26" s="216" t="s">
        <v>8</v>
      </c>
    </row>
    <row r="27" spans="2:6" ht="12.75">
      <c r="B27" s="2"/>
      <c r="C27" s="2"/>
      <c r="D27" s="2"/>
      <c r="E27" s="2"/>
      <c r="F27" s="2"/>
    </row>
    <row r="28" spans="2:6" ht="12.75">
      <c r="B28" s="2"/>
      <c r="C28" s="2"/>
      <c r="D28" s="2"/>
      <c r="E28" s="2"/>
      <c r="F28" s="2"/>
    </row>
    <row r="29" spans="2:6" ht="12.75">
      <c r="B29" s="2"/>
      <c r="C29" s="2"/>
      <c r="D29" s="2"/>
      <c r="E29" s="2"/>
      <c r="F29" s="2"/>
    </row>
    <row r="30" spans="2:6" ht="12.75">
      <c r="B30" s="2"/>
      <c r="C30" s="2"/>
      <c r="D30" s="2"/>
      <c r="E30" s="2"/>
      <c r="F30" s="2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17"/>
      <c r="F32" s="2"/>
    </row>
    <row r="33" spans="2:6" ht="12.75">
      <c r="B33" s="2"/>
      <c r="C33" s="2"/>
      <c r="D33" s="2"/>
      <c r="E33" s="2"/>
      <c r="F33" s="2"/>
    </row>
    <row r="34" spans="2:6" ht="12.75">
      <c r="B34" s="2"/>
      <c r="C34" s="2"/>
      <c r="D34" s="2"/>
      <c r="E34" s="2"/>
      <c r="F34" s="2"/>
    </row>
    <row r="35" spans="2:6" ht="12.75">
      <c r="B35" s="2"/>
      <c r="C35" s="2"/>
      <c r="D35" s="2"/>
      <c r="E35" s="2"/>
      <c r="F35" s="2"/>
    </row>
    <row r="36" spans="2:6" ht="12.75">
      <c r="B36" s="2"/>
      <c r="C36" s="2"/>
      <c r="D36" s="2"/>
      <c r="E36" s="2"/>
      <c r="F36" s="2"/>
    </row>
    <row r="37" spans="2:6" ht="12.75">
      <c r="B37" s="2"/>
      <c r="C37" s="2"/>
      <c r="D37" s="2"/>
      <c r="E37" s="2"/>
      <c r="F37" s="2"/>
    </row>
    <row r="38" spans="2:6" ht="14.25">
      <c r="B38" s="2"/>
      <c r="C38" s="2"/>
      <c r="D38" s="218"/>
      <c r="E38" s="2"/>
      <c r="F38" s="2"/>
    </row>
    <row r="39" spans="2:6" ht="14.25">
      <c r="B39" s="2"/>
      <c r="C39" s="2"/>
      <c r="D39" s="218"/>
      <c r="E39" s="2"/>
      <c r="F39" s="2"/>
    </row>
    <row r="40" spans="2:6" ht="14.25">
      <c r="B40" s="2"/>
      <c r="C40" s="2"/>
      <c r="D40" s="218"/>
      <c r="E40" s="2"/>
      <c r="F40" s="2"/>
    </row>
    <row r="41" ht="12.75">
      <c r="D41" s="213"/>
    </row>
  </sheetData>
  <sheetProtection password="CBA5" sheet="1"/>
  <mergeCells count="15">
    <mergeCell ref="B24:C24"/>
    <mergeCell ref="B25:C25"/>
    <mergeCell ref="B26:C26"/>
    <mergeCell ref="B20:C21"/>
    <mergeCell ref="C2:D2"/>
    <mergeCell ref="A22:A26"/>
    <mergeCell ref="B6:B7"/>
    <mergeCell ref="B22:C22"/>
    <mergeCell ref="B23:C23"/>
    <mergeCell ref="F20:F21"/>
    <mergeCell ref="E20:E21"/>
    <mergeCell ref="D20:D21"/>
    <mergeCell ref="D12:E12"/>
    <mergeCell ref="B12:B13"/>
    <mergeCell ref="C6:C7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" fitToWidth="1" horizontalDpi="600" verticalDpi="600" orientation="landscape" pageOrder="overThenDown" paperSize="9" scale="78" r:id="rId2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42"/>
  <sheetViews>
    <sheetView zoomScalePageLayoutView="0" workbookViewId="0" topLeftCell="A4">
      <selection activeCell="A4" sqref="A4:A16"/>
    </sheetView>
  </sheetViews>
  <sheetFormatPr defaultColWidth="9.140625" defaultRowHeight="12.75"/>
  <cols>
    <col min="1" max="1" width="9.140625" style="73" customWidth="1"/>
    <col min="2" max="2" width="42.57421875" style="73" customWidth="1"/>
    <col min="3" max="3" width="18.00390625" style="73" customWidth="1"/>
    <col min="4" max="4" width="18.140625" style="73" customWidth="1"/>
    <col min="5" max="5" width="17.8515625" style="73" customWidth="1"/>
    <col min="6" max="6" width="18.8515625" style="73" customWidth="1"/>
    <col min="7" max="7" width="18.57421875" style="73" customWidth="1"/>
    <col min="8" max="8" width="10.28125" style="73" bestFit="1" customWidth="1"/>
    <col min="9" max="14" width="9.140625" style="73" customWidth="1"/>
    <col min="15" max="15" width="12.7109375" style="73" bestFit="1" customWidth="1"/>
    <col min="16" max="16384" width="9.140625" style="73" customWidth="1"/>
  </cols>
  <sheetData>
    <row r="1" ht="12.75"/>
    <row r="2" ht="23.25">
      <c r="B2" s="74" t="s">
        <v>9</v>
      </c>
    </row>
    <row r="3" spans="2:15" ht="12.75">
      <c r="B3" s="374">
        <f>'Финансовый план СХК'!H4</f>
        <v>100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12.75">
      <c r="A4" s="335" t="s">
        <v>183</v>
      </c>
      <c r="B4" s="205" t="s">
        <v>10</v>
      </c>
      <c r="C4" s="205" t="s">
        <v>11</v>
      </c>
      <c r="D4" s="205" t="s">
        <v>12</v>
      </c>
      <c r="E4" s="205" t="s">
        <v>13</v>
      </c>
      <c r="F4" s="205" t="s">
        <v>14</v>
      </c>
      <c r="G4" s="205" t="s">
        <v>15</v>
      </c>
      <c r="H4" s="205" t="s">
        <v>16</v>
      </c>
      <c r="I4" s="205" t="s">
        <v>17</v>
      </c>
      <c r="J4" s="205" t="s">
        <v>18</v>
      </c>
      <c r="K4" s="205" t="s">
        <v>19</v>
      </c>
      <c r="L4" s="205" t="s">
        <v>20</v>
      </c>
      <c r="M4" s="205" t="s">
        <v>21</v>
      </c>
      <c r="N4" s="205" t="s">
        <v>22</v>
      </c>
      <c r="O4" s="205" t="s">
        <v>82</v>
      </c>
    </row>
    <row r="5" spans="1:15" ht="25.5">
      <c r="A5" s="373"/>
      <c r="B5" s="130" t="s">
        <v>23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0.1</v>
      </c>
      <c r="I5" s="4">
        <v>0.1</v>
      </c>
      <c r="J5" s="4">
        <v>0.15</v>
      </c>
      <c r="K5" s="4">
        <v>0.15</v>
      </c>
      <c r="L5" s="4">
        <v>0.15</v>
      </c>
      <c r="M5" s="4">
        <v>0.15</v>
      </c>
      <c r="N5" s="4">
        <v>0.2</v>
      </c>
      <c r="O5" s="219">
        <f>SUM(C5:N5)</f>
        <v>1</v>
      </c>
    </row>
    <row r="6" spans="1:15" ht="12.75">
      <c r="A6" s="373"/>
      <c r="B6" s="129" t="s">
        <v>24</v>
      </c>
      <c r="C6" s="129">
        <v>0</v>
      </c>
      <c r="D6" s="129">
        <v>0</v>
      </c>
      <c r="E6" s="129">
        <v>0</v>
      </c>
      <c r="F6" s="129">
        <v>0</v>
      </c>
      <c r="G6" s="129">
        <f>O6*G5</f>
        <v>0</v>
      </c>
      <c r="H6" s="129">
        <f>O6*H5</f>
        <v>1947534.7982456137</v>
      </c>
      <c r="I6" s="129">
        <f>O6*I5</f>
        <v>1947534.7982456137</v>
      </c>
      <c r="J6" s="129">
        <f>O6*J5</f>
        <v>2921302.19736842</v>
      </c>
      <c r="K6" s="129">
        <f>O6*K5</f>
        <v>2921302.19736842</v>
      </c>
      <c r="L6" s="129">
        <f>O6*L5</f>
        <v>2921302.19736842</v>
      </c>
      <c r="M6" s="129">
        <f>O6*M5</f>
        <v>2921302.19736842</v>
      </c>
      <c r="N6" s="129">
        <f>O6*N5</f>
        <v>3895069.5964912274</v>
      </c>
      <c r="O6" s="80">
        <f>'Доходы-расходы СХК'!D56</f>
        <v>19475347.982456136</v>
      </c>
    </row>
    <row r="7" spans="1:15" ht="12.75">
      <c r="A7" s="373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1"/>
    </row>
    <row r="8" spans="1:15" ht="12.75">
      <c r="A8" s="373"/>
      <c r="B8" s="375">
        <f>'Финансовый план СХК'!L4</f>
        <v>150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</row>
    <row r="9" spans="1:15" ht="12.75">
      <c r="A9" s="373"/>
      <c r="B9" s="205" t="s">
        <v>10</v>
      </c>
      <c r="C9" s="205" t="s">
        <v>11</v>
      </c>
      <c r="D9" s="205" t="s">
        <v>12</v>
      </c>
      <c r="E9" s="205" t="s">
        <v>13</v>
      </c>
      <c r="F9" s="205" t="s">
        <v>14</v>
      </c>
      <c r="G9" s="205" t="s">
        <v>15</v>
      </c>
      <c r="H9" s="205" t="s">
        <v>16</v>
      </c>
      <c r="I9" s="205" t="s">
        <v>17</v>
      </c>
      <c r="J9" s="205" t="s">
        <v>18</v>
      </c>
      <c r="K9" s="205" t="s">
        <v>19</v>
      </c>
      <c r="L9" s="205" t="s">
        <v>20</v>
      </c>
      <c r="M9" s="205" t="s">
        <v>21</v>
      </c>
      <c r="N9" s="205" t="s">
        <v>22</v>
      </c>
      <c r="O9" s="205" t="s">
        <v>82</v>
      </c>
    </row>
    <row r="10" spans="1:15" ht="25.5">
      <c r="A10" s="373"/>
      <c r="B10" s="130" t="s">
        <v>23</v>
      </c>
      <c r="C10" s="4"/>
      <c r="D10" s="4"/>
      <c r="E10" s="4"/>
      <c r="F10" s="4"/>
      <c r="G10" s="4"/>
      <c r="H10" s="4">
        <v>0.1</v>
      </c>
      <c r="I10" s="4">
        <v>0.1</v>
      </c>
      <c r="J10" s="4">
        <v>0.15</v>
      </c>
      <c r="K10" s="4">
        <v>0.15</v>
      </c>
      <c r="L10" s="4">
        <v>0.15</v>
      </c>
      <c r="M10" s="4">
        <v>0.15</v>
      </c>
      <c r="N10" s="4">
        <v>0.2</v>
      </c>
      <c r="O10" s="219">
        <f>SUM(C10:N10)</f>
        <v>1</v>
      </c>
    </row>
    <row r="11" spans="1:15" ht="12.75">
      <c r="A11" s="373"/>
      <c r="B11" s="129" t="s">
        <v>24</v>
      </c>
      <c r="C11" s="129">
        <v>0</v>
      </c>
      <c r="D11" s="129">
        <v>0</v>
      </c>
      <c r="E11" s="129">
        <v>0</v>
      </c>
      <c r="F11" s="129">
        <v>0</v>
      </c>
      <c r="G11" s="129">
        <f>O11*G10</f>
        <v>0</v>
      </c>
      <c r="H11" s="129">
        <f>O11*H10</f>
        <v>2921302.197368421</v>
      </c>
      <c r="I11" s="129">
        <f>O11*I10</f>
        <v>2921302.197368421</v>
      </c>
      <c r="J11" s="129">
        <f>O11*J10</f>
        <v>4381953.296052631</v>
      </c>
      <c r="K11" s="129">
        <f>O11*K10</f>
        <v>4381953.296052631</v>
      </c>
      <c r="L11" s="129">
        <f>O11*L10</f>
        <v>4381953.296052631</v>
      </c>
      <c r="M11" s="129">
        <f>O11*M10</f>
        <v>4381953.296052631</v>
      </c>
      <c r="N11" s="129">
        <f>O11*N10</f>
        <v>5842604.394736842</v>
      </c>
      <c r="O11" s="80">
        <f>'Доходы-расходы СХК'!H56</f>
        <v>29213021.97368421</v>
      </c>
    </row>
    <row r="12" spans="1:15" ht="12.75">
      <c r="A12" s="373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1"/>
    </row>
    <row r="13" spans="1:15" ht="12.75">
      <c r="A13" s="373"/>
      <c r="B13" s="375">
        <f>'Финансовый план СХК'!P4</f>
        <v>200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</row>
    <row r="14" spans="1:15" ht="12.75">
      <c r="A14" s="373"/>
      <c r="B14" s="205" t="s">
        <v>10</v>
      </c>
      <c r="C14" s="205" t="s">
        <v>11</v>
      </c>
      <c r="D14" s="205" t="s">
        <v>12</v>
      </c>
      <c r="E14" s="205" t="s">
        <v>13</v>
      </c>
      <c r="F14" s="205" t="s">
        <v>14</v>
      </c>
      <c r="G14" s="205" t="s">
        <v>15</v>
      </c>
      <c r="H14" s="205" t="s">
        <v>16</v>
      </c>
      <c r="I14" s="205" t="s">
        <v>17</v>
      </c>
      <c r="J14" s="205" t="s">
        <v>18</v>
      </c>
      <c r="K14" s="205" t="s">
        <v>19</v>
      </c>
      <c r="L14" s="205" t="s">
        <v>20</v>
      </c>
      <c r="M14" s="205" t="s">
        <v>21</v>
      </c>
      <c r="N14" s="205" t="s">
        <v>22</v>
      </c>
      <c r="O14" s="205" t="s">
        <v>82</v>
      </c>
    </row>
    <row r="15" spans="1:15" ht="25.5">
      <c r="A15" s="373"/>
      <c r="B15" s="130" t="s">
        <v>23</v>
      </c>
      <c r="C15" s="4"/>
      <c r="D15" s="4"/>
      <c r="E15" s="4"/>
      <c r="F15" s="4"/>
      <c r="G15" s="4"/>
      <c r="H15" s="4">
        <v>0.1</v>
      </c>
      <c r="I15" s="4">
        <v>0.1</v>
      </c>
      <c r="J15" s="4">
        <v>0.15</v>
      </c>
      <c r="K15" s="4">
        <v>0.15</v>
      </c>
      <c r="L15" s="4">
        <v>0.15</v>
      </c>
      <c r="M15" s="4">
        <v>0.15</v>
      </c>
      <c r="N15" s="4">
        <v>0.2</v>
      </c>
      <c r="O15" s="219">
        <f>SUM(C15:N15)</f>
        <v>1</v>
      </c>
    </row>
    <row r="16" spans="1:15" ht="12.75">
      <c r="A16" s="373"/>
      <c r="B16" s="129" t="s">
        <v>24</v>
      </c>
      <c r="C16" s="129">
        <v>0</v>
      </c>
      <c r="D16" s="129">
        <v>0</v>
      </c>
      <c r="E16" s="129">
        <v>0</v>
      </c>
      <c r="F16" s="129">
        <v>0</v>
      </c>
      <c r="G16" s="129">
        <f>O16*G15</f>
        <v>0</v>
      </c>
      <c r="H16" s="129">
        <f>O16*H15</f>
        <v>3895069.5964912274</v>
      </c>
      <c r="I16" s="129">
        <f>O16*I15</f>
        <v>3895069.5964912274</v>
      </c>
      <c r="J16" s="129">
        <f>O16*J15</f>
        <v>5842604.39473684</v>
      </c>
      <c r="K16" s="129">
        <f>O16*K15</f>
        <v>5842604.39473684</v>
      </c>
      <c r="L16" s="129">
        <f>O16*L15</f>
        <v>5842604.39473684</v>
      </c>
      <c r="M16" s="129">
        <f>O16*M15</f>
        <v>5842604.39473684</v>
      </c>
      <c r="N16" s="129">
        <f>O16*N15</f>
        <v>7790139.192982455</v>
      </c>
      <c r="O16" s="80">
        <f>'Доходы-расходы СХК'!L56</f>
        <v>38950695.96491227</v>
      </c>
    </row>
    <row r="18" ht="23.25">
      <c r="B18" s="74" t="s">
        <v>25</v>
      </c>
    </row>
    <row r="19" spans="2:7" ht="12.75">
      <c r="B19" s="374">
        <f>'Финансовый план СХК'!H4</f>
        <v>100</v>
      </c>
      <c r="C19" s="375"/>
      <c r="D19" s="375"/>
      <c r="E19" s="375"/>
      <c r="F19" s="375"/>
      <c r="G19" s="375"/>
    </row>
    <row r="20" spans="1:7" ht="12.75">
      <c r="A20" s="335" t="s">
        <v>184</v>
      </c>
      <c r="B20" s="205" t="s">
        <v>10</v>
      </c>
      <c r="C20" s="205" t="s">
        <v>26</v>
      </c>
      <c r="D20" s="205" t="s">
        <v>27</v>
      </c>
      <c r="E20" s="205" t="s">
        <v>28</v>
      </c>
      <c r="F20" s="205" t="s">
        <v>29</v>
      </c>
      <c r="G20" s="205" t="s">
        <v>30</v>
      </c>
    </row>
    <row r="21" spans="1:7" ht="16.5" customHeight="1">
      <c r="A21" s="373"/>
      <c r="B21" s="130" t="s">
        <v>31</v>
      </c>
      <c r="C21" s="222">
        <f>'Финансовый план СХК'!H4</f>
        <v>100</v>
      </c>
      <c r="D21" s="75">
        <f>'Финансовый план СХК'!H4</f>
        <v>100</v>
      </c>
      <c r="E21" s="75">
        <f>'Финансовый план СХК'!H4</f>
        <v>100</v>
      </c>
      <c r="F21" s="75">
        <f>'Финансовый план СХК'!H4</f>
        <v>100</v>
      </c>
      <c r="G21" s="75">
        <f>'Финансовый план СХК'!H4</f>
        <v>100</v>
      </c>
    </row>
    <row r="22" spans="1:7" ht="12.75">
      <c r="A22" s="373"/>
      <c r="B22" s="79" t="s">
        <v>83</v>
      </c>
      <c r="C22" s="3">
        <v>2</v>
      </c>
      <c r="D22" s="3">
        <v>3</v>
      </c>
      <c r="E22" s="3">
        <v>3</v>
      </c>
      <c r="F22" s="3">
        <v>3</v>
      </c>
      <c r="G22" s="3">
        <v>4</v>
      </c>
    </row>
    <row r="23" spans="1:7" ht="12.75">
      <c r="A23" s="373"/>
      <c r="B23" s="129" t="s">
        <v>24</v>
      </c>
      <c r="C23" s="223">
        <f>'Финансовый план СХК'!H8</f>
        <v>19475347.982456144</v>
      </c>
      <c r="D23" s="223">
        <f>'Финансовый план СХК'!I8</f>
        <v>19475347.982456144</v>
      </c>
      <c r="E23" s="223">
        <f>'Финансовый план СХК'!J8</f>
        <v>19475347.982456144</v>
      </c>
      <c r="F23" s="223">
        <f>'Финансовый план СХК'!J8</f>
        <v>19475347.982456144</v>
      </c>
      <c r="G23" s="223">
        <f>'Финансовый план СХК'!J8</f>
        <v>19475347.982456144</v>
      </c>
    </row>
    <row r="24" spans="1:7" ht="12.75">
      <c r="A24" s="373"/>
      <c r="B24" s="220"/>
      <c r="C24" s="220"/>
      <c r="D24" s="220"/>
      <c r="E24" s="220"/>
      <c r="F24" s="220"/>
      <c r="G24" s="220"/>
    </row>
    <row r="25" spans="1:7" ht="12.75">
      <c r="A25" s="373"/>
      <c r="B25" s="375">
        <f>'Финансовый план СХК'!L4</f>
        <v>150</v>
      </c>
      <c r="C25" s="375"/>
      <c r="D25" s="375"/>
      <c r="E25" s="375"/>
      <c r="F25" s="375"/>
      <c r="G25" s="375"/>
    </row>
    <row r="26" spans="1:7" ht="12.75">
      <c r="A26" s="373"/>
      <c r="B26" s="205" t="s">
        <v>10</v>
      </c>
      <c r="C26" s="205" t="s">
        <v>26</v>
      </c>
      <c r="D26" s="205" t="s">
        <v>27</v>
      </c>
      <c r="E26" s="205" t="s">
        <v>28</v>
      </c>
      <c r="F26" s="205" t="s">
        <v>29</v>
      </c>
      <c r="G26" s="205" t="s">
        <v>30</v>
      </c>
    </row>
    <row r="27" spans="1:7" ht="15.75" customHeight="1">
      <c r="A27" s="373"/>
      <c r="B27" s="130" t="s">
        <v>31</v>
      </c>
      <c r="C27" s="75">
        <v>100</v>
      </c>
      <c r="D27" s="75">
        <v>100</v>
      </c>
      <c r="E27" s="75">
        <v>100</v>
      </c>
      <c r="F27" s="75">
        <v>100</v>
      </c>
      <c r="G27" s="75">
        <v>100</v>
      </c>
    </row>
    <row r="28" spans="1:7" ht="12.75">
      <c r="A28" s="373"/>
      <c r="B28" s="79" t="s">
        <v>83</v>
      </c>
      <c r="C28" s="3">
        <v>2</v>
      </c>
      <c r="D28" s="3">
        <v>3</v>
      </c>
      <c r="E28" s="3">
        <v>3</v>
      </c>
      <c r="F28" s="3">
        <v>3</v>
      </c>
      <c r="G28" s="3">
        <v>4</v>
      </c>
    </row>
    <row r="29" spans="1:7" ht="12.75">
      <c r="A29" s="373"/>
      <c r="B29" s="129" t="s">
        <v>24</v>
      </c>
      <c r="C29" s="223">
        <f>'Финансовый план СХК'!L7</f>
        <v>29213021.973684214</v>
      </c>
      <c r="D29" s="223">
        <f>'Финансовый план СХК'!M7</f>
        <v>29213021.973684214</v>
      </c>
      <c r="E29" s="223">
        <f>'Финансовый план СХК'!N7</f>
        <v>29213021.973684214</v>
      </c>
      <c r="F29" s="223">
        <f>'Финансовый план СХК'!N7</f>
        <v>29213021.973684214</v>
      </c>
      <c r="G29" s="223">
        <f>'Финансовый план СХК'!N8</f>
        <v>29213021.973684214</v>
      </c>
    </row>
    <row r="30" spans="1:7" ht="12.75">
      <c r="A30" s="373"/>
      <c r="B30" s="220"/>
      <c r="C30" s="220"/>
      <c r="D30" s="220"/>
      <c r="E30" s="220"/>
      <c r="F30" s="220"/>
      <c r="G30" s="220"/>
    </row>
    <row r="31" spans="1:7" ht="12.75">
      <c r="A31" s="373"/>
      <c r="B31" s="375">
        <f>'Финансовый план СХК'!P4</f>
        <v>200</v>
      </c>
      <c r="C31" s="375"/>
      <c r="D31" s="375"/>
      <c r="E31" s="375"/>
      <c r="F31" s="375"/>
      <c r="G31" s="375"/>
    </row>
    <row r="32" spans="1:7" ht="12.75">
      <c r="A32" s="373"/>
      <c r="B32" s="205" t="s">
        <v>10</v>
      </c>
      <c r="C32" s="205" t="s">
        <v>26</v>
      </c>
      <c r="D32" s="205" t="s">
        <v>27</v>
      </c>
      <c r="E32" s="205" t="s">
        <v>28</v>
      </c>
      <c r="F32" s="205" t="s">
        <v>29</v>
      </c>
      <c r="G32" s="205" t="s">
        <v>30</v>
      </c>
    </row>
    <row r="33" spans="1:7" ht="15" customHeight="1">
      <c r="A33" s="373"/>
      <c r="B33" s="130" t="s">
        <v>31</v>
      </c>
      <c r="C33" s="75">
        <v>100</v>
      </c>
      <c r="D33" s="75">
        <v>100</v>
      </c>
      <c r="E33" s="75">
        <v>100</v>
      </c>
      <c r="F33" s="75">
        <v>100</v>
      </c>
      <c r="G33" s="75">
        <v>100</v>
      </c>
    </row>
    <row r="34" spans="1:7" ht="12.75">
      <c r="A34" s="373"/>
      <c r="B34" s="79" t="s">
        <v>83</v>
      </c>
      <c r="C34" s="3">
        <v>2</v>
      </c>
      <c r="D34" s="3">
        <v>3</v>
      </c>
      <c r="E34" s="3">
        <v>3</v>
      </c>
      <c r="F34" s="3">
        <v>3</v>
      </c>
      <c r="G34" s="3">
        <v>4</v>
      </c>
    </row>
    <row r="35" spans="1:7" ht="12.75">
      <c r="A35" s="373"/>
      <c r="B35" s="129" t="s">
        <v>24</v>
      </c>
      <c r="C35" s="223">
        <f>'Финансовый план СХК'!P8</f>
        <v>38950695.96491229</v>
      </c>
      <c r="D35" s="223">
        <f>'Финансовый план СХК'!Q8</f>
        <v>38950695.96491229</v>
      </c>
      <c r="E35" s="223">
        <f>'Финансовый план СХК'!R8</f>
        <v>38950695.96491229</v>
      </c>
      <c r="F35" s="223">
        <f>'Финансовый план СХК'!R8</f>
        <v>38950695.96491229</v>
      </c>
      <c r="G35" s="223">
        <f>'Финансовый план СХК'!R8</f>
        <v>38950695.96491229</v>
      </c>
    </row>
    <row r="36" spans="2:7" ht="12.75">
      <c r="B36" s="220"/>
      <c r="C36" s="220"/>
      <c r="D36" s="220"/>
      <c r="E36" s="220"/>
      <c r="F36" s="220"/>
      <c r="G36" s="220"/>
    </row>
    <row r="37" ht="23.25">
      <c r="B37" s="74" t="s">
        <v>32</v>
      </c>
    </row>
    <row r="38" spans="2:15" ht="12.75">
      <c r="B38" s="205" t="s">
        <v>10</v>
      </c>
      <c r="C38" s="205" t="s">
        <v>33</v>
      </c>
      <c r="D38" s="205" t="s">
        <v>34</v>
      </c>
      <c r="E38" s="205" t="s">
        <v>35</v>
      </c>
      <c r="F38" s="205" t="s">
        <v>36</v>
      </c>
      <c r="G38" s="205" t="s">
        <v>37</v>
      </c>
      <c r="H38" s="205" t="s">
        <v>38</v>
      </c>
      <c r="I38" s="205" t="s">
        <v>39</v>
      </c>
      <c r="J38" s="205" t="s">
        <v>40</v>
      </c>
      <c r="K38" s="205" t="s">
        <v>41</v>
      </c>
      <c r="L38" s="205" t="s">
        <v>42</v>
      </c>
      <c r="M38" s="205" t="s">
        <v>43</v>
      </c>
      <c r="N38" s="205" t="s">
        <v>44</v>
      </c>
      <c r="O38" s="205" t="s">
        <v>180</v>
      </c>
    </row>
    <row r="39" spans="1:15" ht="12.75">
      <c r="A39" s="132" t="s">
        <v>185</v>
      </c>
      <c r="B39" s="129" t="s">
        <v>45</v>
      </c>
      <c r="C39" s="3">
        <v>9</v>
      </c>
      <c r="D39" s="3">
        <v>9</v>
      </c>
      <c r="E39" s="3">
        <v>7</v>
      </c>
      <c r="F39" s="3">
        <v>7</v>
      </c>
      <c r="G39" s="3">
        <v>8</v>
      </c>
      <c r="H39" s="3">
        <v>8</v>
      </c>
      <c r="I39" s="3">
        <v>8</v>
      </c>
      <c r="J39" s="3">
        <v>8</v>
      </c>
      <c r="K39" s="3">
        <v>9</v>
      </c>
      <c r="L39" s="3">
        <v>9</v>
      </c>
      <c r="M39" s="3">
        <v>9</v>
      </c>
      <c r="N39" s="3">
        <v>9</v>
      </c>
      <c r="O39" s="224">
        <f>SUM(C39:N39)</f>
        <v>100</v>
      </c>
    </row>
    <row r="42" spans="1:4" ht="15.75">
      <c r="A42" s="101"/>
      <c r="B42" s="311" t="s">
        <v>121</v>
      </c>
      <c r="C42" s="311"/>
      <c r="D42" s="311"/>
    </row>
  </sheetData>
  <sheetProtection password="CBA5" sheet="1"/>
  <mergeCells count="9">
    <mergeCell ref="A4:A16"/>
    <mergeCell ref="A20:A35"/>
    <mergeCell ref="B42:D42"/>
    <mergeCell ref="B3:O3"/>
    <mergeCell ref="B8:O8"/>
    <mergeCell ref="B13:O13"/>
    <mergeCell ref="B19:G19"/>
    <mergeCell ref="B25:G25"/>
    <mergeCell ref="B31:G31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" fitToWidth="1" horizontalDpi="600" verticalDpi="600" orientation="landscape" pageOrder="overThenDown" paperSize="9" scale="58" r:id="rId2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41"/>
  <sheetViews>
    <sheetView zoomScalePageLayoutView="71" workbookViewId="0" topLeftCell="A1">
      <selection activeCell="N22" sqref="N22"/>
    </sheetView>
  </sheetViews>
  <sheetFormatPr defaultColWidth="9.140625" defaultRowHeight="12.75"/>
  <cols>
    <col min="1" max="1" width="9.140625" style="73" customWidth="1"/>
    <col min="2" max="2" width="5.00390625" style="73" customWidth="1"/>
    <col min="3" max="3" width="90.57421875" style="73" customWidth="1"/>
    <col min="4" max="4" width="13.57421875" style="73" customWidth="1"/>
    <col min="5" max="5" width="15.28125" style="73" customWidth="1"/>
    <col min="6" max="6" width="12.7109375" style="73" bestFit="1" customWidth="1"/>
    <col min="7" max="8" width="11.7109375" style="73" bestFit="1" customWidth="1"/>
    <col min="9" max="9" width="10.140625" style="73" bestFit="1" customWidth="1"/>
    <col min="10" max="11" width="12.7109375" style="73" bestFit="1" customWidth="1"/>
    <col min="12" max="16384" width="9.140625" style="73" customWidth="1"/>
  </cols>
  <sheetData>
    <row r="1" ht="12.75"/>
    <row r="2" ht="23.25">
      <c r="B2" s="74" t="s">
        <v>46</v>
      </c>
    </row>
    <row r="3" ht="12.75"/>
    <row r="4" spans="2:7" ht="12.75">
      <c r="B4" s="382" t="s">
        <v>47</v>
      </c>
      <c r="C4" s="382"/>
      <c r="D4" s="225" t="s">
        <v>52</v>
      </c>
      <c r="E4" s="225" t="s">
        <v>123</v>
      </c>
      <c r="F4" s="225" t="s">
        <v>48</v>
      </c>
      <c r="G4" s="225" t="s">
        <v>3</v>
      </c>
    </row>
    <row r="5" spans="2:7" ht="12.75">
      <c r="B5" s="382"/>
      <c r="C5" s="382"/>
      <c r="D5" s="225" t="s">
        <v>55</v>
      </c>
      <c r="E5" s="225" t="s">
        <v>49</v>
      </c>
      <c r="F5" s="225" t="s">
        <v>111</v>
      </c>
      <c r="G5" s="225" t="s">
        <v>4</v>
      </c>
    </row>
    <row r="6" spans="1:7" ht="12.75" customHeight="1">
      <c r="A6" s="376" t="s">
        <v>192</v>
      </c>
      <c r="B6" s="380" t="s">
        <v>90</v>
      </c>
      <c r="C6" s="381"/>
      <c r="D6" s="130"/>
      <c r="E6" s="130"/>
      <c r="F6" s="75"/>
      <c r="G6" s="75"/>
    </row>
    <row r="7" spans="1:7" ht="12.75" customHeight="1">
      <c r="A7" s="377"/>
      <c r="B7" s="380" t="s">
        <v>232</v>
      </c>
      <c r="C7" s="381" t="s">
        <v>84</v>
      </c>
      <c r="D7" s="5">
        <v>1</v>
      </c>
      <c r="E7" s="5">
        <v>1061000</v>
      </c>
      <c r="F7" s="87">
        <f>D7*E7</f>
        <v>1061000</v>
      </c>
      <c r="G7" s="88">
        <f>F7/F14</f>
        <v>0.056096013534947656</v>
      </c>
    </row>
    <row r="8" spans="1:7" ht="48.75" customHeight="1">
      <c r="A8" s="377"/>
      <c r="B8" s="380" t="s">
        <v>85</v>
      </c>
      <c r="C8" s="381" t="s">
        <v>85</v>
      </c>
      <c r="D8" s="5">
        <v>1</v>
      </c>
      <c r="E8" s="5">
        <v>1200000</v>
      </c>
      <c r="F8" s="87">
        <f aca="true" t="shared" si="0" ref="F8:F13">D8*E8</f>
        <v>1200000</v>
      </c>
      <c r="G8" s="88">
        <f>F8/F14</f>
        <v>0.06344506714602939</v>
      </c>
    </row>
    <row r="9" spans="1:7" ht="12.75" customHeight="1">
      <c r="A9" s="377"/>
      <c r="B9" s="380" t="s">
        <v>233</v>
      </c>
      <c r="C9" s="381" t="s">
        <v>88</v>
      </c>
      <c r="D9" s="5">
        <v>1</v>
      </c>
      <c r="E9" s="5">
        <v>1400000</v>
      </c>
      <c r="F9" s="87">
        <f t="shared" si="0"/>
        <v>1400000</v>
      </c>
      <c r="G9" s="88">
        <f>F9/F14</f>
        <v>0.07401924500370097</v>
      </c>
    </row>
    <row r="10" spans="1:7" ht="66" customHeight="1">
      <c r="A10" s="377"/>
      <c r="B10" s="380" t="s">
        <v>316</v>
      </c>
      <c r="C10" s="381"/>
      <c r="D10" s="5">
        <v>1</v>
      </c>
      <c r="E10" s="5">
        <v>11400000</v>
      </c>
      <c r="F10" s="87">
        <f t="shared" si="0"/>
        <v>11400000</v>
      </c>
      <c r="G10" s="88">
        <f>F10/F14</f>
        <v>0.6027281378872793</v>
      </c>
    </row>
    <row r="11" spans="1:7" ht="12.75" customHeight="1">
      <c r="A11" s="377"/>
      <c r="B11" s="380" t="s">
        <v>234</v>
      </c>
      <c r="C11" s="381" t="s">
        <v>86</v>
      </c>
      <c r="D11" s="5">
        <v>1</v>
      </c>
      <c r="E11" s="5">
        <v>1353000</v>
      </c>
      <c r="F11" s="87">
        <f t="shared" si="0"/>
        <v>1353000</v>
      </c>
      <c r="G11" s="88">
        <f>F11/F14</f>
        <v>0.07153431320714815</v>
      </c>
    </row>
    <row r="12" spans="1:7" ht="26.25" customHeight="1">
      <c r="A12" s="377"/>
      <c r="B12" s="380" t="s">
        <v>246</v>
      </c>
      <c r="C12" s="381" t="s">
        <v>87</v>
      </c>
      <c r="D12" s="5">
        <v>1</v>
      </c>
      <c r="E12" s="5">
        <v>2000000</v>
      </c>
      <c r="F12" s="87">
        <f t="shared" si="0"/>
        <v>2000000</v>
      </c>
      <c r="G12" s="88">
        <f>F12/F14</f>
        <v>0.10574177857671566</v>
      </c>
    </row>
    <row r="13" spans="1:7" ht="12.75" customHeight="1">
      <c r="A13" s="377"/>
      <c r="B13" s="380" t="s">
        <v>89</v>
      </c>
      <c r="C13" s="381"/>
      <c r="D13" s="5">
        <v>1</v>
      </c>
      <c r="E13" s="5">
        <v>500000</v>
      </c>
      <c r="F13" s="87">
        <f t="shared" si="0"/>
        <v>500000</v>
      </c>
      <c r="G13" s="88">
        <f>F13/F14</f>
        <v>0.026435444644178914</v>
      </c>
    </row>
    <row r="14" spans="2:7" ht="12.75">
      <c r="B14" s="384" t="s">
        <v>50</v>
      </c>
      <c r="C14" s="384"/>
      <c r="D14" s="129"/>
      <c r="E14" s="129"/>
      <c r="F14" s="89">
        <f>SUM(F6:F13)</f>
        <v>18914000</v>
      </c>
      <c r="G14" s="90">
        <f>SUM(G7:G13)</f>
        <v>1.0000000000000002</v>
      </c>
    </row>
    <row r="17" ht="23.25">
      <c r="B17" s="74" t="s">
        <v>51</v>
      </c>
    </row>
    <row r="18" ht="12.75">
      <c r="N18" s="132" t="s">
        <v>273</v>
      </c>
    </row>
    <row r="19" spans="2:11" ht="12.75">
      <c r="B19" s="383" t="s">
        <v>47</v>
      </c>
      <c r="C19" s="383"/>
      <c r="D19" s="128" t="s">
        <v>52</v>
      </c>
      <c r="E19" s="128" t="s">
        <v>53</v>
      </c>
      <c r="F19" s="128" t="s">
        <v>48</v>
      </c>
      <c r="G19" s="383" t="s">
        <v>54</v>
      </c>
      <c r="H19" s="383"/>
      <c r="I19" s="383"/>
      <c r="J19" s="383"/>
      <c r="K19" s="102" t="s">
        <v>50</v>
      </c>
    </row>
    <row r="20" spans="2:11" ht="12.75">
      <c r="B20" s="383"/>
      <c r="C20" s="383"/>
      <c r="D20" s="128" t="s">
        <v>55</v>
      </c>
      <c r="E20" s="128" t="s">
        <v>49</v>
      </c>
      <c r="F20" s="128" t="s">
        <v>49</v>
      </c>
      <c r="G20" s="128" t="s">
        <v>11</v>
      </c>
      <c r="H20" s="128" t="s">
        <v>12</v>
      </c>
      <c r="I20" s="128" t="s">
        <v>13</v>
      </c>
      <c r="J20" s="128" t="s">
        <v>14</v>
      </c>
      <c r="K20" s="128" t="s">
        <v>15</v>
      </c>
    </row>
    <row r="21" spans="1:11" ht="25.5" customHeight="1">
      <c r="A21" s="376" t="s">
        <v>193</v>
      </c>
      <c r="B21" s="75">
        <v>1</v>
      </c>
      <c r="C21" s="78" t="str">
        <f>B12</f>
        <v>Строительно-монтажные работы 15% от стоимости модульного цеха,  подведение коммуникаций и подъездных путей.</v>
      </c>
      <c r="D21" s="77">
        <f>D12</f>
        <v>1</v>
      </c>
      <c r="E21" s="77">
        <f>E12</f>
        <v>2000000</v>
      </c>
      <c r="F21" s="77">
        <f aca="true" t="shared" si="1" ref="F21:F27">D21*E21</f>
        <v>2000000</v>
      </c>
      <c r="G21" s="77">
        <f>F21*0.3</f>
        <v>600000</v>
      </c>
      <c r="H21" s="77">
        <v>0</v>
      </c>
      <c r="I21" s="77">
        <v>0</v>
      </c>
      <c r="J21" s="77">
        <f>F21*0.7</f>
        <v>1400000</v>
      </c>
      <c r="K21" s="77">
        <v>0</v>
      </c>
    </row>
    <row r="22" spans="1:11" ht="12.75">
      <c r="A22" s="377"/>
      <c r="B22" s="75">
        <v>2</v>
      </c>
      <c r="C22" s="76" t="str">
        <f>B7</f>
        <v>Холодильная камера с бытовым помещением.</v>
      </c>
      <c r="D22" s="77">
        <f>D7</f>
        <v>1</v>
      </c>
      <c r="E22" s="77">
        <f>E7</f>
        <v>1061000</v>
      </c>
      <c r="F22" s="77">
        <f t="shared" si="1"/>
        <v>1061000</v>
      </c>
      <c r="G22" s="77">
        <v>0</v>
      </c>
      <c r="H22" s="77">
        <v>0</v>
      </c>
      <c r="I22" s="77">
        <f>F7*0.5</f>
        <v>530500</v>
      </c>
      <c r="J22" s="77">
        <f>F7*0.5</f>
        <v>530500</v>
      </c>
      <c r="K22" s="77">
        <v>0</v>
      </c>
    </row>
    <row r="23" spans="1:11" ht="12.75">
      <c r="A23" s="377"/>
      <c r="B23" s="75">
        <v>3</v>
      </c>
      <c r="C23" s="76" t="str">
        <f>B11</f>
        <v>Генератор ледяной воды</v>
      </c>
      <c r="D23" s="77">
        <f>D11</f>
        <v>1</v>
      </c>
      <c r="E23" s="77">
        <f>E11</f>
        <v>1353000</v>
      </c>
      <c r="F23" s="77">
        <f t="shared" si="1"/>
        <v>1353000</v>
      </c>
      <c r="G23" s="77">
        <v>0</v>
      </c>
      <c r="H23" s="77">
        <f>F23*0.3</f>
        <v>405900</v>
      </c>
      <c r="I23" s="77">
        <v>0</v>
      </c>
      <c r="J23" s="77">
        <f>F23*0.7</f>
        <v>947099.9999999999</v>
      </c>
      <c r="K23" s="77">
        <v>0</v>
      </c>
    </row>
    <row r="24" spans="1:11" ht="63.75">
      <c r="A24" s="377"/>
      <c r="B24" s="75">
        <v>4</v>
      </c>
      <c r="C24" s="78" t="str">
        <f>B8</f>
        <v>Уаз Стандарт,  Фургон-рефрижератор, 2 места Одинарная кабина, привод: 4х4  / Стандарт  (дв. ЗМЗ 409051, V = 2,69 л. – 150 л.с., бензин), подключаемый передний привод, фургон-рефрижератор, (ДхШхВ: 3100х2160х2135), холодильное оборудование Элинж С2Т: температурный режим охлаждения-обогрева -20…+10 °С.  При приобретении автомобиля к заказу обязательно приобретение опции (1 на выбор)</v>
      </c>
      <c r="D24" s="77">
        <f aca="true" t="shared" si="2" ref="D24:E26">D8</f>
        <v>1</v>
      </c>
      <c r="E24" s="77">
        <f t="shared" si="2"/>
        <v>1200000</v>
      </c>
      <c r="F24" s="77">
        <f t="shared" si="1"/>
        <v>1200000</v>
      </c>
      <c r="G24" s="77">
        <v>0</v>
      </c>
      <c r="H24" s="77">
        <v>0</v>
      </c>
      <c r="I24" s="77">
        <f>F24*0.1</f>
        <v>120000</v>
      </c>
      <c r="J24" s="77">
        <f>F24*0.9</f>
        <v>1080000</v>
      </c>
      <c r="K24" s="77">
        <v>0</v>
      </c>
    </row>
    <row r="25" spans="1:11" ht="12.75">
      <c r="A25" s="377"/>
      <c r="B25" s="75">
        <v>5</v>
      </c>
      <c r="C25" s="78" t="str">
        <f>B9</f>
        <v>Автомобиль «Молоковоз» с охлаждением УАЗ-36221 с Цистерной 1500л (ЛКП), привод: 4х4 </v>
      </c>
      <c r="D25" s="77">
        <f t="shared" si="2"/>
        <v>1</v>
      </c>
      <c r="E25" s="77">
        <f t="shared" si="2"/>
        <v>1400000</v>
      </c>
      <c r="F25" s="77">
        <f t="shared" si="1"/>
        <v>1400000</v>
      </c>
      <c r="G25" s="77">
        <v>0</v>
      </c>
      <c r="H25" s="77">
        <v>0</v>
      </c>
      <c r="I25" s="77">
        <f>F25*0.1</f>
        <v>140000</v>
      </c>
      <c r="J25" s="77">
        <f>F25*0.9</f>
        <v>1260000</v>
      </c>
      <c r="K25" s="77">
        <v>0</v>
      </c>
    </row>
    <row r="26" spans="1:11" ht="66" customHeight="1">
      <c r="A26" s="377"/>
      <c r="B26" s="75">
        <v>6</v>
      </c>
      <c r="C26" s="78" t="str">
        <f>B10</f>
        <v>Модульный молочный цех, на приёмку, очистку и переработку 3000 кг. молока в смену, с получением и хранением следующих продуктов: молоко пастеризованное и напиток кисломолочный кефирный упакованный в полиэтиленовые пакеты, сметана, или сливки питьевые фасованные в пластиковые стаканы, творог весовой, сыр мягкий Адыгейский фасованный в пищевую плёнку, масло сливочное Крестьянское (МДЖ 72,5%), сыворотка, пахта. Анализатор молока.  </v>
      </c>
      <c r="D26" s="77">
        <f t="shared" si="2"/>
        <v>1</v>
      </c>
      <c r="E26" s="77">
        <f t="shared" si="2"/>
        <v>11400000</v>
      </c>
      <c r="F26" s="77">
        <f t="shared" si="1"/>
        <v>11400000</v>
      </c>
      <c r="G26" s="77">
        <v>0</v>
      </c>
      <c r="H26" s="77">
        <f>F26*0.6</f>
        <v>6840000</v>
      </c>
      <c r="I26" s="77">
        <v>0</v>
      </c>
      <c r="J26" s="77">
        <f>F26*0.4</f>
        <v>4560000</v>
      </c>
      <c r="K26" s="77">
        <v>0</v>
      </c>
    </row>
    <row r="27" spans="1:11" ht="12.75">
      <c r="A27" s="377"/>
      <c r="B27" s="75">
        <v>7</v>
      </c>
      <c r="C27" s="76" t="str">
        <f>B13</f>
        <v>Прочее (резерв)</v>
      </c>
      <c r="D27" s="77">
        <f>D13</f>
        <v>1</v>
      </c>
      <c r="E27" s="77">
        <f>E13</f>
        <v>500000</v>
      </c>
      <c r="F27" s="77">
        <f t="shared" si="1"/>
        <v>500000</v>
      </c>
      <c r="G27" s="77">
        <v>0</v>
      </c>
      <c r="H27" s="77">
        <v>0</v>
      </c>
      <c r="I27" s="77">
        <v>0</v>
      </c>
      <c r="J27" s="77">
        <f>F27</f>
        <v>500000</v>
      </c>
      <c r="K27" s="77">
        <v>0</v>
      </c>
    </row>
    <row r="28" spans="2:11" ht="12.75">
      <c r="B28" s="75"/>
      <c r="C28" s="79" t="s">
        <v>92</v>
      </c>
      <c r="D28" s="75"/>
      <c r="E28" s="77"/>
      <c r="F28" s="80">
        <f>SUM(F21:F27)</f>
        <v>18914000</v>
      </c>
      <c r="G28" s="77">
        <f>SUM(G21:G27)</f>
        <v>600000</v>
      </c>
      <c r="H28" s="77">
        <f>SUM(H21:H27)</f>
        <v>7245900</v>
      </c>
      <c r="I28" s="77">
        <f>SUM(I21:I27)</f>
        <v>790500</v>
      </c>
      <c r="J28" s="77">
        <f>SUM(J21:J27)</f>
        <v>10277600</v>
      </c>
      <c r="K28" s="80">
        <f>SUM(G28:J28)</f>
        <v>18914000</v>
      </c>
    </row>
    <row r="29" spans="2:11" ht="12.75">
      <c r="B29" s="81"/>
      <c r="C29" s="81"/>
      <c r="D29" s="81"/>
      <c r="E29" s="82"/>
      <c r="F29" s="82"/>
      <c r="G29" s="81"/>
      <c r="H29" s="81"/>
      <c r="I29" s="81"/>
      <c r="J29" s="81"/>
      <c r="K29" s="81"/>
    </row>
    <row r="30" spans="2:11" ht="12.75">
      <c r="B30" s="81"/>
      <c r="C30" s="81"/>
      <c r="D30" s="81"/>
      <c r="E30" s="82"/>
      <c r="F30" s="82"/>
      <c r="G30" s="81"/>
      <c r="H30" s="81"/>
      <c r="I30" s="81"/>
      <c r="J30" s="81"/>
      <c r="K30" s="81"/>
    </row>
    <row r="31" spans="2:11" ht="23.25">
      <c r="B31" s="74" t="s">
        <v>110</v>
      </c>
      <c r="D31" s="81"/>
      <c r="E31" s="82"/>
      <c r="F31" s="82"/>
      <c r="G31" s="81"/>
      <c r="H31" s="81"/>
      <c r="I31" s="81"/>
      <c r="J31" s="81"/>
      <c r="K31" s="81"/>
    </row>
    <row r="32" spans="2:11" ht="12.75">
      <c r="B32" s="81"/>
      <c r="C32" s="81"/>
      <c r="D32" s="81"/>
      <c r="E32" s="82"/>
      <c r="F32" s="82"/>
      <c r="G32" s="81"/>
      <c r="H32" s="81"/>
      <c r="I32" s="81"/>
      <c r="J32" s="81"/>
      <c r="K32" s="81"/>
    </row>
    <row r="33" spans="2:11" ht="12.75">
      <c r="B33" s="383" t="s">
        <v>47</v>
      </c>
      <c r="C33" s="383"/>
      <c r="D33" s="383"/>
      <c r="E33" s="128" t="s">
        <v>265</v>
      </c>
      <c r="F33" s="82"/>
      <c r="G33" s="81"/>
      <c r="H33" s="81"/>
      <c r="I33" s="81"/>
      <c r="J33" s="81"/>
      <c r="K33" s="81"/>
    </row>
    <row r="34" spans="2:6" ht="12.75">
      <c r="B34" s="383"/>
      <c r="C34" s="383"/>
      <c r="D34" s="383"/>
      <c r="E34" s="128" t="s">
        <v>49</v>
      </c>
      <c r="F34" s="82"/>
    </row>
    <row r="35" spans="2:6" ht="31.5" customHeight="1">
      <c r="B35" s="75">
        <v>1</v>
      </c>
      <c r="C35" s="385" t="s">
        <v>266</v>
      </c>
      <c r="D35" s="386"/>
      <c r="E35" s="77">
        <f>'Финансовый план СХК'!H27</f>
        <v>1891400</v>
      </c>
      <c r="F35" s="82"/>
    </row>
    <row r="36" spans="2:5" ht="12.75">
      <c r="B36" s="84">
        <v>2</v>
      </c>
      <c r="C36" s="385" t="s">
        <v>267</v>
      </c>
      <c r="D36" s="386"/>
      <c r="E36" s="77">
        <f>'Финансовый план СХК'!H28</f>
        <v>17022600</v>
      </c>
    </row>
    <row r="37" spans="2:5" ht="12.75">
      <c r="B37" s="85">
        <v>3</v>
      </c>
      <c r="C37" s="378" t="s">
        <v>317</v>
      </c>
      <c r="D37" s="379"/>
      <c r="E37" s="77">
        <f>'Финансовый план СХК'!H30</f>
        <v>5674200</v>
      </c>
    </row>
    <row r="38" spans="2:5" ht="12.75">
      <c r="B38" s="84"/>
      <c r="C38" s="384" t="s">
        <v>50</v>
      </c>
      <c r="D38" s="384"/>
      <c r="E38" s="86">
        <f>SUM(E35:E37)</f>
        <v>24588200</v>
      </c>
    </row>
    <row r="39" spans="3:4" ht="12.75">
      <c r="C39" s="132"/>
      <c r="D39" s="226"/>
    </row>
    <row r="41" spans="1:4" ht="15.75">
      <c r="A41" s="101"/>
      <c r="B41" s="311" t="s">
        <v>121</v>
      </c>
      <c r="C41" s="311"/>
      <c r="D41" s="311"/>
    </row>
  </sheetData>
  <sheetProtection password="CBA5" sheet="1"/>
  <mergeCells count="20">
    <mergeCell ref="G19:J19"/>
    <mergeCell ref="B41:D41"/>
    <mergeCell ref="B9:C9"/>
    <mergeCell ref="B8:C8"/>
    <mergeCell ref="B7:C7"/>
    <mergeCell ref="B6:C6"/>
    <mergeCell ref="C38:D38"/>
    <mergeCell ref="B33:D34"/>
    <mergeCell ref="C35:D35"/>
    <mergeCell ref="C36:D36"/>
    <mergeCell ref="A6:A13"/>
    <mergeCell ref="A21:A27"/>
    <mergeCell ref="C37:D37"/>
    <mergeCell ref="B10:C10"/>
    <mergeCell ref="B4:C5"/>
    <mergeCell ref="B19:C20"/>
    <mergeCell ref="B14:C14"/>
    <mergeCell ref="B13:C13"/>
    <mergeCell ref="B12:C12"/>
    <mergeCell ref="B11:C11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" fitToWidth="1" horizontalDpi="600" verticalDpi="600" orientation="landscape" pageOrder="overThenDown" paperSize="9" scale="61" r:id="rId2"/>
  <headerFooter alignWithMargins="0">
    <oddHeader>&amp;C&amp;P</oddHeader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T80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9.140625" style="73" customWidth="1"/>
    <col min="2" max="2" width="5.00390625" style="73" customWidth="1"/>
    <col min="3" max="3" width="28.7109375" style="73" customWidth="1"/>
    <col min="4" max="4" width="13.140625" style="73" customWidth="1"/>
    <col min="5" max="5" width="9.140625" style="73" customWidth="1"/>
    <col min="6" max="6" width="8.421875" style="73" customWidth="1"/>
    <col min="7" max="7" width="28.28125" style="73" customWidth="1"/>
    <col min="8" max="8" width="13.8515625" style="73" customWidth="1"/>
    <col min="9" max="10" width="9.140625" style="73" customWidth="1"/>
    <col min="11" max="11" width="30.8515625" style="73" customWidth="1"/>
    <col min="12" max="12" width="12.7109375" style="73" bestFit="1" customWidth="1"/>
    <col min="13" max="16384" width="9.140625" style="73" customWidth="1"/>
  </cols>
  <sheetData>
    <row r="1" ht="12.75"/>
    <row r="2" spans="2:12" ht="23.25">
      <c r="B2" s="409" t="s">
        <v>195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ht="12.75"/>
    <row r="4" spans="2:11" ht="16.5" thickBot="1">
      <c r="B4" s="396">
        <f>'Финансовый план СХК'!H4</f>
        <v>100</v>
      </c>
      <c r="C4" s="397"/>
      <c r="D4" s="397"/>
      <c r="E4" s="397"/>
      <c r="F4" s="397"/>
      <c r="I4" s="396">
        <f>'Финансовый план СХК'!H4</f>
        <v>100</v>
      </c>
      <c r="J4" s="397"/>
      <c r="K4" s="397"/>
    </row>
    <row r="5" spans="1:12" s="91" customFormat="1" ht="38.25">
      <c r="A5" s="399" t="s">
        <v>200</v>
      </c>
      <c r="B5" s="392" t="s">
        <v>56</v>
      </c>
      <c r="C5" s="393"/>
      <c r="D5" s="227" t="s">
        <v>57</v>
      </c>
      <c r="E5" s="131" t="s">
        <v>128</v>
      </c>
      <c r="F5" s="103" t="s">
        <v>129</v>
      </c>
      <c r="I5" s="392" t="s">
        <v>58</v>
      </c>
      <c r="J5" s="393"/>
      <c r="K5" s="228" t="s">
        <v>59</v>
      </c>
      <c r="L5" s="73"/>
    </row>
    <row r="6" spans="1:11" ht="12.75">
      <c r="A6" s="400"/>
      <c r="B6" s="394" t="s">
        <v>94</v>
      </c>
      <c r="C6" s="395"/>
      <c r="D6" s="6">
        <v>1</v>
      </c>
      <c r="E6" s="6">
        <v>22000</v>
      </c>
      <c r="F6" s="229">
        <f>(D6*E6)*12</f>
        <v>264000</v>
      </c>
      <c r="I6" s="398" t="s">
        <v>60</v>
      </c>
      <c r="J6" s="386"/>
      <c r="K6" s="230" t="s">
        <v>61</v>
      </c>
    </row>
    <row r="7" spans="1:11" ht="12.75">
      <c r="A7" s="400"/>
      <c r="B7" s="394" t="s">
        <v>93</v>
      </c>
      <c r="C7" s="403"/>
      <c r="D7" s="6">
        <v>0.7</v>
      </c>
      <c r="E7" s="6">
        <v>20000</v>
      </c>
      <c r="F7" s="229">
        <f>(D7*E7)*12</f>
        <v>168000</v>
      </c>
      <c r="I7" s="398" t="s">
        <v>62</v>
      </c>
      <c r="J7" s="386"/>
      <c r="K7" s="231" t="s">
        <v>63</v>
      </c>
    </row>
    <row r="8" spans="1:11" ht="12.75">
      <c r="A8" s="400"/>
      <c r="B8" s="394" t="s">
        <v>247</v>
      </c>
      <c r="C8" s="403"/>
      <c r="D8" s="6">
        <v>3</v>
      </c>
      <c r="E8" s="6">
        <v>20000</v>
      </c>
      <c r="F8" s="229">
        <f>(D8*E8)*12</f>
        <v>720000</v>
      </c>
      <c r="I8" s="398" t="s">
        <v>64</v>
      </c>
      <c r="J8" s="386"/>
      <c r="K8" s="230" t="s">
        <v>65</v>
      </c>
    </row>
    <row r="9" spans="1:11" ht="12.75">
      <c r="A9" s="400"/>
      <c r="B9" s="394" t="s">
        <v>245</v>
      </c>
      <c r="C9" s="403"/>
      <c r="D9" s="6">
        <v>2</v>
      </c>
      <c r="E9" s="6">
        <v>18000</v>
      </c>
      <c r="F9" s="229">
        <f>(D9*E9)*12</f>
        <v>432000</v>
      </c>
      <c r="I9" s="398" t="s">
        <v>66</v>
      </c>
      <c r="J9" s="386"/>
      <c r="K9" s="230" t="s">
        <v>67</v>
      </c>
    </row>
    <row r="10" spans="1:11" ht="27.75" customHeight="1" thickBot="1">
      <c r="A10" s="400"/>
      <c r="B10" s="387" t="s">
        <v>69</v>
      </c>
      <c r="C10" s="384"/>
      <c r="D10" s="84">
        <f>SUM(D6:D9)</f>
        <v>6.7</v>
      </c>
      <c r="F10" s="232">
        <f>SUM(F6:F9)</f>
        <v>1584000</v>
      </c>
      <c r="I10" s="412" t="s">
        <v>68</v>
      </c>
      <c r="J10" s="413"/>
      <c r="K10" s="233">
        <f>F10*30.2%</f>
        <v>478368</v>
      </c>
    </row>
    <row r="11" spans="1:12" ht="13.5" thickBot="1">
      <c r="A11" s="400"/>
      <c r="B11" s="410" t="s">
        <v>95</v>
      </c>
      <c r="C11" s="411"/>
      <c r="D11" s="234"/>
      <c r="E11" s="234"/>
      <c r="F11" s="235">
        <f>F10+K10</f>
        <v>2062368</v>
      </c>
      <c r="I11" s="220"/>
      <c r="J11" s="220"/>
      <c r="K11" s="220"/>
      <c r="L11" s="220"/>
    </row>
    <row r="12" spans="1:11" ht="19.5" customHeight="1" thickBot="1">
      <c r="A12" s="400"/>
      <c r="B12" s="397">
        <f>'Финансовый план СХК'!L4</f>
        <v>150</v>
      </c>
      <c r="C12" s="397"/>
      <c r="D12" s="397"/>
      <c r="E12" s="397"/>
      <c r="F12" s="397"/>
      <c r="I12" s="415">
        <f>'Финансовый план СХК'!L4</f>
        <v>150</v>
      </c>
      <c r="J12" s="415"/>
      <c r="K12" s="415"/>
    </row>
    <row r="13" spans="1:11" ht="38.25">
      <c r="A13" s="400"/>
      <c r="B13" s="392" t="s">
        <v>56</v>
      </c>
      <c r="C13" s="393"/>
      <c r="D13" s="131" t="s">
        <v>57</v>
      </c>
      <c r="E13" s="131" t="s">
        <v>128</v>
      </c>
      <c r="F13" s="103" t="s">
        <v>129</v>
      </c>
      <c r="G13" s="91"/>
      <c r="H13" s="91"/>
      <c r="I13" s="392" t="s">
        <v>58</v>
      </c>
      <c r="J13" s="393"/>
      <c r="K13" s="228" t="s">
        <v>59</v>
      </c>
    </row>
    <row r="14" spans="1:12" ht="12.75">
      <c r="A14" s="400"/>
      <c r="B14" s="394" t="s">
        <v>94</v>
      </c>
      <c r="C14" s="395"/>
      <c r="D14" s="6">
        <v>1</v>
      </c>
      <c r="E14" s="6">
        <v>22000</v>
      </c>
      <c r="F14" s="229">
        <f>(D14*E14)*12</f>
        <v>264000</v>
      </c>
      <c r="I14" s="401" t="s">
        <v>60</v>
      </c>
      <c r="J14" s="402"/>
      <c r="K14" s="230" t="s">
        <v>61</v>
      </c>
      <c r="L14" s="81"/>
    </row>
    <row r="15" spans="1:12" ht="12.75">
      <c r="A15" s="400"/>
      <c r="B15" s="404" t="s">
        <v>93</v>
      </c>
      <c r="C15" s="403"/>
      <c r="D15" s="6">
        <v>0.7</v>
      </c>
      <c r="E15" s="6">
        <v>20000</v>
      </c>
      <c r="F15" s="229">
        <f>(D15*E15)*12</f>
        <v>168000</v>
      </c>
      <c r="I15" s="401" t="s">
        <v>62</v>
      </c>
      <c r="J15" s="402"/>
      <c r="K15" s="230" t="s">
        <v>63</v>
      </c>
      <c r="L15" s="81"/>
    </row>
    <row r="16" spans="1:12" ht="12.75">
      <c r="A16" s="400"/>
      <c r="B16" s="404" t="s">
        <v>247</v>
      </c>
      <c r="C16" s="403"/>
      <c r="D16" s="6">
        <v>4</v>
      </c>
      <c r="E16" s="6">
        <v>20000</v>
      </c>
      <c r="F16" s="229">
        <f>(D16*E16)*12</f>
        <v>960000</v>
      </c>
      <c r="I16" s="401" t="s">
        <v>64</v>
      </c>
      <c r="J16" s="402"/>
      <c r="K16" s="230" t="s">
        <v>65</v>
      </c>
      <c r="L16" s="81"/>
    </row>
    <row r="17" spans="1:12" ht="12.75">
      <c r="A17" s="400"/>
      <c r="B17" s="404" t="s">
        <v>245</v>
      </c>
      <c r="C17" s="403"/>
      <c r="D17" s="6">
        <v>2</v>
      </c>
      <c r="E17" s="6">
        <v>18000</v>
      </c>
      <c r="F17" s="229">
        <f>(D17*E17)*12</f>
        <v>432000</v>
      </c>
      <c r="I17" s="401" t="s">
        <v>66</v>
      </c>
      <c r="J17" s="402"/>
      <c r="K17" s="230" t="s">
        <v>67</v>
      </c>
      <c r="L17" s="81"/>
    </row>
    <row r="18" spans="1:12" ht="26.25" customHeight="1" thickBot="1">
      <c r="A18" s="400"/>
      <c r="B18" s="384" t="s">
        <v>69</v>
      </c>
      <c r="C18" s="384"/>
      <c r="D18" s="84">
        <f>SUM(D14:D17)</f>
        <v>7.7</v>
      </c>
      <c r="E18" s="84"/>
      <c r="F18" s="232">
        <f>SUM(F14:F17)</f>
        <v>1824000</v>
      </c>
      <c r="I18" s="412" t="s">
        <v>68</v>
      </c>
      <c r="J18" s="413"/>
      <c r="K18" s="233">
        <f>F18*30.2%</f>
        <v>550848</v>
      </c>
      <c r="L18" s="81"/>
    </row>
    <row r="19" spans="1:12" ht="13.5" thickBot="1">
      <c r="A19" s="400"/>
      <c r="B19" s="416" t="s">
        <v>95</v>
      </c>
      <c r="C19" s="417"/>
      <c r="D19" s="236"/>
      <c r="E19" s="236"/>
      <c r="F19" s="235">
        <f>F18+K18</f>
        <v>2374848</v>
      </c>
      <c r="I19" s="220"/>
      <c r="J19" s="220"/>
      <c r="K19" s="220"/>
      <c r="L19" s="220"/>
    </row>
    <row r="20" spans="1:12" ht="12.75">
      <c r="A20" s="400"/>
      <c r="B20" s="237"/>
      <c r="C20" s="238"/>
      <c r="D20" s="239"/>
      <c r="E20" s="239"/>
      <c r="F20" s="240"/>
      <c r="I20" s="220"/>
      <c r="J20" s="220"/>
      <c r="K20" s="220"/>
      <c r="L20" s="220"/>
    </row>
    <row r="21" spans="1:11" ht="19.5" customHeight="1" thickBot="1">
      <c r="A21" s="400"/>
      <c r="B21" s="397">
        <f>'Финансовый план СХК'!P4</f>
        <v>200</v>
      </c>
      <c r="C21" s="397"/>
      <c r="D21" s="397"/>
      <c r="E21" s="397"/>
      <c r="F21" s="397"/>
      <c r="I21" s="415">
        <f>'Финансовый план СХК'!P4</f>
        <v>200</v>
      </c>
      <c r="J21" s="415"/>
      <c r="K21" s="415"/>
    </row>
    <row r="22" spans="1:12" ht="38.25">
      <c r="A22" s="400"/>
      <c r="B22" s="392" t="s">
        <v>56</v>
      </c>
      <c r="C22" s="393"/>
      <c r="D22" s="131" t="s">
        <v>57</v>
      </c>
      <c r="E22" s="131" t="s">
        <v>130</v>
      </c>
      <c r="F22" s="103" t="s">
        <v>131</v>
      </c>
      <c r="G22" s="91"/>
      <c r="H22" s="91"/>
      <c r="I22" s="392" t="s">
        <v>58</v>
      </c>
      <c r="J22" s="393"/>
      <c r="K22" s="228" t="s">
        <v>59</v>
      </c>
      <c r="L22" s="81"/>
    </row>
    <row r="23" spans="1:12" ht="12.75">
      <c r="A23" s="400"/>
      <c r="B23" s="394" t="s">
        <v>94</v>
      </c>
      <c r="C23" s="395"/>
      <c r="D23" s="6">
        <v>1</v>
      </c>
      <c r="E23" s="6">
        <v>22000</v>
      </c>
      <c r="F23" s="229">
        <f>(D23*E23)*12</f>
        <v>264000</v>
      </c>
      <c r="I23" s="401" t="s">
        <v>60</v>
      </c>
      <c r="J23" s="402"/>
      <c r="K23" s="230" t="s">
        <v>61</v>
      </c>
      <c r="L23" s="81"/>
    </row>
    <row r="24" spans="1:12" ht="12.75">
      <c r="A24" s="400"/>
      <c r="B24" s="394" t="s">
        <v>93</v>
      </c>
      <c r="C24" s="403"/>
      <c r="D24" s="6">
        <v>1</v>
      </c>
      <c r="E24" s="6">
        <v>20000</v>
      </c>
      <c r="F24" s="229">
        <f>(D24*E24)*12</f>
        <v>240000</v>
      </c>
      <c r="I24" s="401" t="s">
        <v>62</v>
      </c>
      <c r="J24" s="402"/>
      <c r="K24" s="230" t="s">
        <v>63</v>
      </c>
      <c r="L24" s="81"/>
    </row>
    <row r="25" spans="1:12" ht="12.75">
      <c r="A25" s="400"/>
      <c r="B25" s="394" t="s">
        <v>247</v>
      </c>
      <c r="C25" s="403"/>
      <c r="D25" s="6">
        <v>4</v>
      </c>
      <c r="E25" s="6">
        <v>20000</v>
      </c>
      <c r="F25" s="229">
        <f>(D25*E25)*12</f>
        <v>960000</v>
      </c>
      <c r="I25" s="401" t="s">
        <v>64</v>
      </c>
      <c r="J25" s="402"/>
      <c r="K25" s="230" t="s">
        <v>65</v>
      </c>
      <c r="L25" s="81"/>
    </row>
    <row r="26" spans="1:12" ht="12.75">
      <c r="A26" s="400"/>
      <c r="B26" s="394" t="s">
        <v>245</v>
      </c>
      <c r="C26" s="403"/>
      <c r="D26" s="6">
        <v>2</v>
      </c>
      <c r="E26" s="6">
        <v>20000</v>
      </c>
      <c r="F26" s="229">
        <f>(D26*E26)*12</f>
        <v>480000</v>
      </c>
      <c r="I26" s="401" t="s">
        <v>66</v>
      </c>
      <c r="J26" s="402"/>
      <c r="K26" s="230" t="s">
        <v>67</v>
      </c>
      <c r="L26" s="81"/>
    </row>
    <row r="27" spans="1:12" ht="27" customHeight="1" thickBot="1">
      <c r="A27" s="400"/>
      <c r="B27" s="387" t="s">
        <v>69</v>
      </c>
      <c r="C27" s="384"/>
      <c r="D27" s="129">
        <f>SUM(D23:D26)</f>
        <v>8</v>
      </c>
      <c r="E27" s="129"/>
      <c r="F27" s="232">
        <f>SUM(F23:F26)</f>
        <v>1944000</v>
      </c>
      <c r="I27" s="412" t="s">
        <v>68</v>
      </c>
      <c r="J27" s="413"/>
      <c r="K27" s="233">
        <f>F27*30.2%</f>
        <v>587088</v>
      </c>
      <c r="L27" s="81"/>
    </row>
    <row r="28" spans="1:12" ht="13.5" thickBot="1">
      <c r="A28" s="400"/>
      <c r="B28" s="410" t="s">
        <v>95</v>
      </c>
      <c r="C28" s="411"/>
      <c r="D28" s="234"/>
      <c r="E28" s="234"/>
      <c r="F28" s="235">
        <f>F27+K27</f>
        <v>2531088</v>
      </c>
      <c r="I28" s="220"/>
      <c r="J28" s="220"/>
      <c r="K28" s="220"/>
      <c r="L28" s="220"/>
    </row>
    <row r="30" spans="2:12" ht="23.25">
      <c r="B30" s="409" t="s">
        <v>196</v>
      </c>
      <c r="C30" s="409"/>
      <c r="D30" s="409"/>
      <c r="E30" s="409"/>
      <c r="F30" s="409"/>
      <c r="G30" s="409"/>
      <c r="H30" s="409"/>
      <c r="I30" s="409"/>
      <c r="J30" s="409"/>
      <c r="K30" s="409"/>
      <c r="L30" s="409"/>
    </row>
    <row r="31" spans="2:12" ht="16.5" thickBot="1">
      <c r="B31" s="396">
        <f>'Финансовый план СХК'!H4</f>
        <v>100</v>
      </c>
      <c r="C31" s="408"/>
      <c r="D31" s="408"/>
      <c r="F31" s="397">
        <f>'Финансовый план СХК'!L4</f>
        <v>150</v>
      </c>
      <c r="G31" s="408"/>
      <c r="H31" s="408"/>
      <c r="I31" s="91"/>
      <c r="J31" s="397">
        <f>'Финансовый план СХК'!P4</f>
        <v>200</v>
      </c>
      <c r="K31" s="408"/>
      <c r="L31" s="408"/>
    </row>
    <row r="32" spans="2:12" s="91" customFormat="1" ht="12.75">
      <c r="B32" s="392" t="s">
        <v>70</v>
      </c>
      <c r="C32" s="393"/>
      <c r="D32" s="103" t="s">
        <v>120</v>
      </c>
      <c r="F32" s="392" t="s">
        <v>70</v>
      </c>
      <c r="G32" s="393"/>
      <c r="H32" s="103" t="s">
        <v>132</v>
      </c>
      <c r="I32" s="73"/>
      <c r="J32" s="392" t="s">
        <v>70</v>
      </c>
      <c r="K32" s="393"/>
      <c r="L32" s="103" t="s">
        <v>120</v>
      </c>
    </row>
    <row r="33" spans="2:12" s="91" customFormat="1" ht="12.75">
      <c r="B33" s="93">
        <v>1</v>
      </c>
      <c r="C33" s="79" t="str">
        <f>'Финансовый план СХК'!B18</f>
        <v>покупка молока у членов кооператива</v>
      </c>
      <c r="D33" s="94">
        <f>'Финансовый план СХК'!H18</f>
        <v>13500000</v>
      </c>
      <c r="F33" s="93">
        <v>1</v>
      </c>
      <c r="G33" s="79" t="str">
        <f aca="true" t="shared" si="0" ref="G33:G40">C33</f>
        <v>покупка молока у членов кооператива</v>
      </c>
      <c r="H33" s="94">
        <f>'Финансовый план СХК'!L18</f>
        <v>22125000</v>
      </c>
      <c r="I33" s="73"/>
      <c r="J33" s="93">
        <v>1</v>
      </c>
      <c r="K33" s="79" t="str">
        <f aca="true" t="shared" si="1" ref="K33:K40">C33</f>
        <v>покупка молока у членов кооператива</v>
      </c>
      <c r="L33" s="94">
        <f>'Финансовый план СХК'!P18</f>
        <v>30900000</v>
      </c>
    </row>
    <row r="34" spans="2:12" s="91" customFormat="1" ht="12.75">
      <c r="B34" s="93">
        <v>2</v>
      </c>
      <c r="C34" s="79" t="str">
        <f>'Финансовый план СХК'!B19</f>
        <v>ФОТ с начислениями </v>
      </c>
      <c r="D34" s="94">
        <f>'Финансовый план СХК'!H19</f>
        <v>2062368</v>
      </c>
      <c r="F34" s="93">
        <v>2</v>
      </c>
      <c r="G34" s="79" t="str">
        <f t="shared" si="0"/>
        <v>ФОТ с начислениями </v>
      </c>
      <c r="H34" s="94">
        <f>'Финансовый план СХК'!L19</f>
        <v>2374848</v>
      </c>
      <c r="I34" s="73"/>
      <c r="J34" s="93">
        <v>2</v>
      </c>
      <c r="K34" s="79" t="str">
        <f t="shared" si="1"/>
        <v>ФОТ с начислениями </v>
      </c>
      <c r="L34" s="94">
        <f>'Финансовый план СХК'!P19</f>
        <v>2531088</v>
      </c>
    </row>
    <row r="35" spans="2:12" s="91" customFormat="1" ht="12.75">
      <c r="B35" s="93">
        <v>3</v>
      </c>
      <c r="C35" s="79" t="str">
        <f>'Финансовый план СХК'!B23</f>
        <v>Услуги лаборатории</v>
      </c>
      <c r="D35" s="94">
        <f>'Финансовый план СХК'!H23</f>
        <v>250000</v>
      </c>
      <c r="F35" s="93">
        <v>3</v>
      </c>
      <c r="G35" s="79" t="str">
        <f t="shared" si="0"/>
        <v>Услуги лаборатории</v>
      </c>
      <c r="H35" s="94">
        <f>'Финансовый план СХК'!L23</f>
        <v>375000</v>
      </c>
      <c r="I35" s="73"/>
      <c r="J35" s="93">
        <v>3</v>
      </c>
      <c r="K35" s="79" t="str">
        <f t="shared" si="1"/>
        <v>Услуги лаборатории</v>
      </c>
      <c r="L35" s="94">
        <f>'Финансовый план СХК'!P23</f>
        <v>500000</v>
      </c>
    </row>
    <row r="36" spans="2:12" s="91" customFormat="1" ht="63" customHeight="1">
      <c r="B36" s="93">
        <v>4</v>
      </c>
      <c r="C36" s="83" t="str">
        <f>'Финансовый план СХК'!B24</f>
        <v>Транспортные расходы, запасные части, коммунальные расходы, расходы на содержание зданий, канцелярские расходы и пр.</v>
      </c>
      <c r="D36" s="95">
        <f>'Финансовый план СХК'!H24</f>
        <v>1000000</v>
      </c>
      <c r="F36" s="93">
        <v>4</v>
      </c>
      <c r="G36" s="83" t="str">
        <f t="shared" si="0"/>
        <v>Транспортные расходы, запасные части, коммунальные расходы, расходы на содержание зданий, канцелярские расходы и пр.</v>
      </c>
      <c r="H36" s="95">
        <f>'Финансовый план СХК'!L24</f>
        <v>1500000</v>
      </c>
      <c r="I36" s="73"/>
      <c r="J36" s="93">
        <v>4</v>
      </c>
      <c r="K36" s="96" t="str">
        <f t="shared" si="1"/>
        <v>Транспортные расходы, запасные части, коммунальные расходы, расходы на содержание зданий, канцелярские расходы и пр.</v>
      </c>
      <c r="L36" s="95">
        <f>'Финансовый план СХК'!P24</f>
        <v>2000000</v>
      </c>
    </row>
    <row r="37" spans="2:12" s="91" customFormat="1" ht="12.75">
      <c r="B37" s="93">
        <v>5</v>
      </c>
      <c r="C37" s="83" t="str">
        <f>'Финансовый план СХК'!B20</f>
        <v>Прочие расходы</v>
      </c>
      <c r="D37" s="95">
        <f>'Финансовый план СХК'!H20</f>
        <v>0</v>
      </c>
      <c r="F37" s="93">
        <v>5</v>
      </c>
      <c r="G37" s="83" t="str">
        <f>C37</f>
        <v>Прочие расходы</v>
      </c>
      <c r="H37" s="95">
        <f>'Финансовый план СХК'!L20</f>
        <v>0</v>
      </c>
      <c r="I37" s="73"/>
      <c r="J37" s="93">
        <v>5</v>
      </c>
      <c r="K37" s="96" t="str">
        <f>C37</f>
        <v>Прочие расходы</v>
      </c>
      <c r="L37" s="95">
        <f>'Финансовый план СХК'!P20</f>
        <v>0</v>
      </c>
    </row>
    <row r="38" spans="2:12" s="91" customFormat="1" ht="12.75">
      <c r="B38" s="93">
        <v>6</v>
      </c>
      <c r="C38" s="83" t="str">
        <f>'Финансовый план СХК'!B21</f>
        <v>Прочие расходы</v>
      </c>
      <c r="D38" s="95">
        <f>'Финансовый план СХК'!H21</f>
        <v>0</v>
      </c>
      <c r="F38" s="93">
        <v>6</v>
      </c>
      <c r="G38" s="83" t="str">
        <f>C38</f>
        <v>Прочие расходы</v>
      </c>
      <c r="H38" s="95">
        <f>'Финансовый план СХК'!L21</f>
        <v>0</v>
      </c>
      <c r="I38" s="73"/>
      <c r="J38" s="93">
        <v>6</v>
      </c>
      <c r="K38" s="96" t="str">
        <f>C38</f>
        <v>Прочие расходы</v>
      </c>
      <c r="L38" s="95">
        <f>'Финансовый план СХК'!P21</f>
        <v>0</v>
      </c>
    </row>
    <row r="39" spans="2:12" s="91" customFormat="1" ht="12.75">
      <c r="B39" s="93">
        <v>7</v>
      </c>
      <c r="C39" s="83" t="str">
        <f>'Финансовый план СХК'!B22</f>
        <v>Упаковка</v>
      </c>
      <c r="D39" s="95">
        <f>'Финансовый план СХК'!H22</f>
        <v>300000</v>
      </c>
      <c r="F39" s="93">
        <v>7</v>
      </c>
      <c r="G39" s="83" t="str">
        <f>C39</f>
        <v>Упаковка</v>
      </c>
      <c r="H39" s="95">
        <f>'Финансовый план СХК'!L22</f>
        <v>450000</v>
      </c>
      <c r="I39" s="73"/>
      <c r="J39" s="93">
        <v>7</v>
      </c>
      <c r="K39" s="96" t="str">
        <f>C39</f>
        <v>Упаковка</v>
      </c>
      <c r="L39" s="95">
        <f>'Финансовый план СХК'!P22</f>
        <v>600000</v>
      </c>
    </row>
    <row r="40" spans="2:12" ht="12.75">
      <c r="B40" s="93">
        <v>8</v>
      </c>
      <c r="C40" s="79" t="str">
        <f>'Финансовый план СХК'!B25</f>
        <v>Налог 6% (доходы - расходы)</v>
      </c>
      <c r="D40" s="94">
        <f>'Финансовый план СХК'!H25</f>
        <v>141778.79894736863</v>
      </c>
      <c r="F40" s="93">
        <v>8</v>
      </c>
      <c r="G40" s="79" t="str">
        <f t="shared" si="0"/>
        <v>Налог 6% (доходы - расходы)</v>
      </c>
      <c r="H40" s="94">
        <f>'Финансовый план СХК'!L25</f>
        <v>143290.43842105285</v>
      </c>
      <c r="J40" s="93">
        <v>8</v>
      </c>
      <c r="K40" s="79" t="str">
        <f t="shared" si="1"/>
        <v>Налог 6% (доходы - расходы)</v>
      </c>
      <c r="L40" s="94">
        <f>'Финансовый план СХК'!P25</f>
        <v>145176.47789473727</v>
      </c>
    </row>
    <row r="41" spans="2:12" ht="13.5" thickBot="1">
      <c r="B41" s="390" t="s">
        <v>71</v>
      </c>
      <c r="C41" s="391"/>
      <c r="D41" s="97">
        <f>SUM(D33:D40)</f>
        <v>17254146.798947368</v>
      </c>
      <c r="F41" s="390" t="s">
        <v>71</v>
      </c>
      <c r="G41" s="391"/>
      <c r="H41" s="97">
        <f>SUM(H33:H40)</f>
        <v>26968138.438421052</v>
      </c>
      <c r="J41" s="390" t="s">
        <v>71</v>
      </c>
      <c r="K41" s="391"/>
      <c r="L41" s="97">
        <f>SUM(L33:L40)</f>
        <v>36676264.47789474</v>
      </c>
    </row>
    <row r="42" spans="2:12" ht="12.75">
      <c r="B42" s="98"/>
      <c r="C42" s="98"/>
      <c r="D42" s="99"/>
      <c r="F42" s="98"/>
      <c r="G42" s="98"/>
      <c r="H42" s="99"/>
      <c r="J42" s="98"/>
      <c r="K42" s="98"/>
      <c r="L42" s="99"/>
    </row>
    <row r="43" spans="2:12" ht="12.75">
      <c r="B43" s="98"/>
      <c r="C43" s="98"/>
      <c r="D43" s="99"/>
      <c r="F43" s="98"/>
      <c r="G43" s="98"/>
      <c r="H43" s="99"/>
      <c r="J43" s="98"/>
      <c r="K43" s="98"/>
      <c r="L43" s="99"/>
    </row>
    <row r="44" spans="2:12" ht="12.75">
      <c r="B44" s="98"/>
      <c r="C44" s="98"/>
      <c r="D44" s="99"/>
      <c r="F44" s="98"/>
      <c r="G44" s="98"/>
      <c r="H44" s="99"/>
      <c r="J44" s="98"/>
      <c r="K44" s="98"/>
      <c r="L44" s="99"/>
    </row>
    <row r="45" spans="2:12" ht="23.25">
      <c r="B45" s="409" t="s">
        <v>197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</row>
    <row r="46" spans="2:12" ht="16.5" thickBot="1">
      <c r="B46" s="396">
        <f>'Финансовый план СХК'!H4</f>
        <v>100</v>
      </c>
      <c r="C46" s="408"/>
      <c r="D46" s="408"/>
      <c r="F46" s="397">
        <f>'Финансовый план СХК'!L4</f>
        <v>150</v>
      </c>
      <c r="G46" s="408"/>
      <c r="H46" s="408"/>
      <c r="I46" s="91"/>
      <c r="J46" s="397">
        <f>'Финансовый план СХК'!P4</f>
        <v>200</v>
      </c>
      <c r="K46" s="408"/>
      <c r="L46" s="408"/>
    </row>
    <row r="47" spans="2:12" ht="12.75">
      <c r="B47" s="406" t="s">
        <v>108</v>
      </c>
      <c r="C47" s="407"/>
      <c r="D47" s="92" t="s">
        <v>120</v>
      </c>
      <c r="E47" s="91"/>
      <c r="F47" s="406" t="s">
        <v>108</v>
      </c>
      <c r="G47" s="407"/>
      <c r="H47" s="92" t="s">
        <v>120</v>
      </c>
      <c r="J47" s="406" t="s">
        <v>108</v>
      </c>
      <c r="K47" s="407"/>
      <c r="L47" s="92" t="s">
        <v>120</v>
      </c>
    </row>
    <row r="48" spans="2:12" ht="12.75">
      <c r="B48" s="100">
        <v>1</v>
      </c>
      <c r="C48" s="79" t="str">
        <f>'Финансовый план СХК'!B9</f>
        <v>Молоко пастеризованное (МДЖ 2,5%)</v>
      </c>
      <c r="D48" s="94">
        <f>'Финансовый план СХК'!H9</f>
        <v>7253400</v>
      </c>
      <c r="E48" s="91"/>
      <c r="F48" s="100">
        <v>1</v>
      </c>
      <c r="G48" s="79" t="str">
        <f aca="true" t="shared" si="2" ref="G48:G55">C48</f>
        <v>Молоко пастеризованное (МДЖ 2,5%)</v>
      </c>
      <c r="H48" s="94">
        <f>'Финансовый план СХК'!L9</f>
        <v>10880100</v>
      </c>
      <c r="J48" s="100">
        <v>1</v>
      </c>
      <c r="K48" s="79" t="str">
        <f aca="true" t="shared" si="3" ref="K48:K55">C48</f>
        <v>Молоко пастеризованное (МДЖ 2,5%)</v>
      </c>
      <c r="L48" s="94">
        <f>'Финансовый план СХК'!P9</f>
        <v>14506800</v>
      </c>
    </row>
    <row r="49" spans="2:12" ht="12.75">
      <c r="B49" s="100">
        <v>2</v>
      </c>
      <c r="C49" s="79" t="str">
        <f>'Финансовый план СХК'!B10</f>
        <v>Напиток кисломолочный кефирный (МДЖ 2,5%)</v>
      </c>
      <c r="D49" s="94">
        <f>'Финансовый план СХК'!H10</f>
        <v>3068450</v>
      </c>
      <c r="E49" s="91"/>
      <c r="F49" s="100">
        <v>2</v>
      </c>
      <c r="G49" s="79" t="str">
        <f t="shared" si="2"/>
        <v>Напиток кисломолочный кефирный (МДЖ 2,5%)</v>
      </c>
      <c r="H49" s="94">
        <f>'Финансовый план СХК'!L10</f>
        <v>4602675</v>
      </c>
      <c r="J49" s="100">
        <v>2</v>
      </c>
      <c r="K49" s="79" t="str">
        <f t="shared" si="3"/>
        <v>Напиток кисломолочный кефирный (МДЖ 2,5%)</v>
      </c>
      <c r="L49" s="94">
        <f>'Финансовый план СХК'!P10</f>
        <v>6136900</v>
      </c>
    </row>
    <row r="50" spans="2:12" ht="12.75">
      <c r="B50" s="100">
        <v>3</v>
      </c>
      <c r="C50" s="79" t="str">
        <f>'Финансовый план СХК'!B11</f>
        <v>Сметана (МДЖ 20%)</v>
      </c>
      <c r="D50" s="94">
        <f>'Финансовый план СХК'!H11</f>
        <v>3173333.333333333</v>
      </c>
      <c r="E50" s="91"/>
      <c r="F50" s="100">
        <v>3</v>
      </c>
      <c r="G50" s="79" t="str">
        <f t="shared" si="2"/>
        <v>Сметана (МДЖ 20%)</v>
      </c>
      <c r="H50" s="94">
        <f>'Финансовый план СХК'!L11</f>
        <v>4760000</v>
      </c>
      <c r="J50" s="100">
        <v>3</v>
      </c>
      <c r="K50" s="79" t="str">
        <f t="shared" si="3"/>
        <v>Сметана (МДЖ 20%)</v>
      </c>
      <c r="L50" s="94">
        <f>'Финансовый план СХК'!P11</f>
        <v>6346666.666666666</v>
      </c>
    </row>
    <row r="51" spans="2:12" ht="12.75">
      <c r="B51" s="100">
        <v>4</v>
      </c>
      <c r="C51" s="79" t="str">
        <f>'Финансовый план СХК'!B12</f>
        <v>Творог (МДЖ 9%)</v>
      </c>
      <c r="D51" s="94">
        <f>'Финансовый план СХК'!H12</f>
        <v>2408250</v>
      </c>
      <c r="E51" s="91"/>
      <c r="F51" s="100">
        <v>4</v>
      </c>
      <c r="G51" s="79" t="str">
        <f t="shared" si="2"/>
        <v>Творог (МДЖ 9%)</v>
      </c>
      <c r="H51" s="94">
        <f>'Финансовый план СХК'!L12</f>
        <v>3612375</v>
      </c>
      <c r="J51" s="100">
        <v>4</v>
      </c>
      <c r="K51" s="79" t="str">
        <f t="shared" si="3"/>
        <v>Творог (МДЖ 9%)</v>
      </c>
      <c r="L51" s="94">
        <f>'Финансовый план СХК'!P12</f>
        <v>4816500</v>
      </c>
    </row>
    <row r="52" spans="2:20" ht="12.75">
      <c r="B52" s="100">
        <v>5</v>
      </c>
      <c r="C52" s="79" t="str">
        <f>'Финансовый план СХК'!B13</f>
        <v>Сыр Адыгейский</v>
      </c>
      <c r="D52" s="94">
        <f>'Финансовый план СХК'!H13</f>
        <v>2083333.3333333333</v>
      </c>
      <c r="E52" s="91"/>
      <c r="F52" s="100">
        <v>5</v>
      </c>
      <c r="G52" s="79" t="str">
        <f t="shared" si="2"/>
        <v>Сыр Адыгейский</v>
      </c>
      <c r="H52" s="94">
        <f>'Финансовый план СХК'!L13</f>
        <v>3125000</v>
      </c>
      <c r="J52" s="100">
        <v>5</v>
      </c>
      <c r="K52" s="79" t="str">
        <f t="shared" si="3"/>
        <v>Сыр Адыгейский</v>
      </c>
      <c r="L52" s="94">
        <f>'Финансовый план СХК'!P13</f>
        <v>4166666.6666666665</v>
      </c>
      <c r="S52" s="405"/>
      <c r="T52" s="405"/>
    </row>
    <row r="53" spans="2:12" ht="12.75">
      <c r="B53" s="100">
        <v>6</v>
      </c>
      <c r="C53" s="79" t="str">
        <f>'Финансовый план СХК'!B14</f>
        <v>Масло сливочное крестьянское (МДЖ 72,5%)</v>
      </c>
      <c r="D53" s="94">
        <f>'Финансовый план СХК'!H14</f>
        <v>1330526.3157894737</v>
      </c>
      <c r="E53" s="91"/>
      <c r="F53" s="100">
        <v>6</v>
      </c>
      <c r="G53" s="79" t="str">
        <f t="shared" si="2"/>
        <v>Масло сливочное крестьянское (МДЖ 72,5%)</v>
      </c>
      <c r="H53" s="94">
        <f>'Финансовый план СХК'!L14</f>
        <v>1995789.4736842106</v>
      </c>
      <c r="J53" s="100">
        <v>6</v>
      </c>
      <c r="K53" s="79" t="str">
        <f t="shared" si="3"/>
        <v>Масло сливочное крестьянское (МДЖ 72,5%)</v>
      </c>
      <c r="L53" s="94">
        <f>'Финансовый план СХК'!P14</f>
        <v>2661052.6315789474</v>
      </c>
    </row>
    <row r="54" spans="2:12" ht="12.75">
      <c r="B54" s="100">
        <v>7</v>
      </c>
      <c r="C54" s="79" t="str">
        <f>'Финансовый план СХК'!B15</f>
        <v>Сыворотка</v>
      </c>
      <c r="D54" s="94">
        <f>'Финансовый план СХК'!H15</f>
        <v>149300</v>
      </c>
      <c r="E54" s="91"/>
      <c r="F54" s="100">
        <v>7</v>
      </c>
      <c r="G54" s="79" t="str">
        <f t="shared" si="2"/>
        <v>Сыворотка</v>
      </c>
      <c r="H54" s="94">
        <f>'Финансовый план СХК'!L15</f>
        <v>223950</v>
      </c>
      <c r="J54" s="100">
        <v>7</v>
      </c>
      <c r="K54" s="79" t="str">
        <f t="shared" si="3"/>
        <v>Сыворотка</v>
      </c>
      <c r="L54" s="94">
        <f>'Финансовый план СХК'!P15</f>
        <v>298600</v>
      </c>
    </row>
    <row r="55" spans="2:12" ht="12.75">
      <c r="B55" s="100">
        <v>8</v>
      </c>
      <c r="C55" s="79" t="str">
        <f>'Финансовый план СХК'!B16</f>
        <v>Пахта</v>
      </c>
      <c r="D55" s="94">
        <f>'Финансовый план СХК'!H16</f>
        <v>8755</v>
      </c>
      <c r="E55" s="91"/>
      <c r="F55" s="100">
        <v>8</v>
      </c>
      <c r="G55" s="79" t="str">
        <f t="shared" si="2"/>
        <v>Пахта</v>
      </c>
      <c r="H55" s="94">
        <f>'Финансовый план СХК'!L16</f>
        <v>13132.5</v>
      </c>
      <c r="J55" s="100">
        <v>8</v>
      </c>
      <c r="K55" s="79" t="str">
        <f t="shared" si="3"/>
        <v>Пахта</v>
      </c>
      <c r="L55" s="94">
        <f>'Финансовый план СХК'!P16</f>
        <v>17510</v>
      </c>
    </row>
    <row r="56" spans="2:12" ht="13.5" thickBot="1">
      <c r="B56" s="388" t="s">
        <v>50</v>
      </c>
      <c r="C56" s="389"/>
      <c r="D56" s="97">
        <f>SUM(D48:D55)</f>
        <v>19475347.982456136</v>
      </c>
      <c r="F56" s="388"/>
      <c r="G56" s="389"/>
      <c r="H56" s="97">
        <f>SUM(H48:H55)</f>
        <v>29213021.97368421</v>
      </c>
      <c r="J56" s="390"/>
      <c r="K56" s="391"/>
      <c r="L56" s="97">
        <f>SUM(L48:L55)</f>
        <v>38950695.96491227</v>
      </c>
    </row>
    <row r="57" spans="2:12" ht="12.75">
      <c r="B57" s="98"/>
      <c r="C57" s="98"/>
      <c r="D57" s="99"/>
      <c r="F57" s="98"/>
      <c r="G57" s="98"/>
      <c r="H57" s="99"/>
      <c r="J57" s="98"/>
      <c r="K57" s="98"/>
      <c r="L57" s="99"/>
    </row>
    <row r="58" spans="2:12" ht="12.75">
      <c r="B58" s="98"/>
      <c r="C58" s="98"/>
      <c r="D58" s="99"/>
      <c r="F58" s="98"/>
      <c r="G58" s="98"/>
      <c r="H58" s="99"/>
      <c r="J58" s="98"/>
      <c r="K58" s="98"/>
      <c r="L58" s="99"/>
    </row>
    <row r="59" spans="1:12" ht="29.25" customHeight="1">
      <c r="A59" s="101"/>
      <c r="B59" s="311" t="s">
        <v>121</v>
      </c>
      <c r="C59" s="311"/>
      <c r="D59" s="311"/>
      <c r="F59" s="98"/>
      <c r="G59" s="98"/>
      <c r="H59" s="99"/>
      <c r="J59" s="98"/>
      <c r="K59" s="98"/>
      <c r="L59" s="99"/>
    </row>
    <row r="60" spans="2:12" ht="12.75">
      <c r="B60" s="98"/>
      <c r="C60" s="98"/>
      <c r="D60" s="99"/>
      <c r="F60" s="98"/>
      <c r="G60" s="98"/>
      <c r="H60" s="99"/>
      <c r="J60" s="98"/>
      <c r="K60" s="98"/>
      <c r="L60" s="99"/>
    </row>
    <row r="61" spans="2:12" ht="12.75">
      <c r="B61" s="98"/>
      <c r="C61" s="98"/>
      <c r="D61" s="99"/>
      <c r="F61" s="98"/>
      <c r="G61" s="98"/>
      <c r="H61" s="99"/>
      <c r="J61" s="98"/>
      <c r="K61" s="98"/>
      <c r="L61" s="99"/>
    </row>
    <row r="62" spans="2:12" ht="12.75">
      <c r="B62" s="98"/>
      <c r="C62" s="98"/>
      <c r="D62" s="99"/>
      <c r="F62" s="98"/>
      <c r="G62" s="98"/>
      <c r="H62" s="99"/>
      <c r="J62" s="98"/>
      <c r="K62" s="98"/>
      <c r="L62" s="99"/>
    </row>
    <row r="63" spans="2:12" ht="12.75">
      <c r="B63" s="98"/>
      <c r="C63" s="98"/>
      <c r="D63" s="99"/>
      <c r="F63" s="98"/>
      <c r="G63" s="98"/>
      <c r="H63" s="99"/>
      <c r="J63" s="98"/>
      <c r="K63" s="98"/>
      <c r="L63" s="99"/>
    </row>
    <row r="64" spans="2:12" ht="12.75">
      <c r="B64" s="98"/>
      <c r="C64" s="98"/>
      <c r="D64" s="99"/>
      <c r="F64" s="98"/>
      <c r="G64" s="98"/>
      <c r="H64" s="99"/>
      <c r="J64" s="98"/>
      <c r="K64" s="98"/>
      <c r="L64" s="99"/>
    </row>
    <row r="65" spans="2:12" ht="12.75">
      <c r="B65" s="98"/>
      <c r="C65" s="98"/>
      <c r="D65" s="99"/>
      <c r="F65" s="98"/>
      <c r="G65" s="98"/>
      <c r="H65" s="99"/>
      <c r="J65" s="98"/>
      <c r="K65" s="98"/>
      <c r="L65" s="99"/>
    </row>
    <row r="66" spans="2:12" ht="12.75">
      <c r="B66" s="98"/>
      <c r="C66" s="98"/>
      <c r="D66" s="99"/>
      <c r="F66" s="98"/>
      <c r="G66" s="98"/>
      <c r="H66" s="99"/>
      <c r="J66" s="98"/>
      <c r="K66" s="98"/>
      <c r="L66" s="99"/>
    </row>
    <row r="67" spans="2:12" ht="12.75">
      <c r="B67" s="98"/>
      <c r="C67" s="98"/>
      <c r="D67" s="99"/>
      <c r="F67" s="98"/>
      <c r="G67" s="98"/>
      <c r="H67" s="99"/>
      <c r="J67" s="98"/>
      <c r="K67" s="98"/>
      <c r="L67" s="99"/>
    </row>
    <row r="68" spans="2:12" ht="12.75">
      <c r="B68" s="98"/>
      <c r="C68" s="98"/>
      <c r="D68" s="99"/>
      <c r="F68" s="98"/>
      <c r="G68" s="98"/>
      <c r="H68" s="99"/>
      <c r="J68" s="98"/>
      <c r="K68" s="98"/>
      <c r="L68" s="99"/>
    </row>
    <row r="69" spans="2:17" ht="12.75"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</row>
    <row r="70" spans="2:17" ht="12.75"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</row>
    <row r="71" spans="2:17" ht="12.75"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</row>
    <row r="72" spans="2:17" s="91" customFormat="1" ht="25.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</row>
    <row r="73" spans="2:17" ht="12.75"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</row>
    <row r="74" spans="2:17" ht="12.75"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</row>
    <row r="75" spans="2:17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</row>
    <row r="76" spans="2:17" ht="12.75"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</row>
    <row r="77" spans="2:17" ht="12.75"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</row>
    <row r="78" spans="2:17" ht="12.75"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</row>
    <row r="79" spans="2:10" ht="12.75">
      <c r="B79" s="414"/>
      <c r="C79" s="414"/>
      <c r="D79" s="81"/>
      <c r="F79" s="81"/>
      <c r="G79" s="81"/>
      <c r="H79" s="81"/>
      <c r="I79" s="81"/>
      <c r="J79" s="81"/>
    </row>
    <row r="80" spans="2:10" ht="12.75">
      <c r="B80" s="414"/>
      <c r="C80" s="414"/>
      <c r="D80" s="81"/>
      <c r="F80" s="81"/>
      <c r="G80" s="81"/>
      <c r="H80" s="81"/>
      <c r="I80" s="81"/>
      <c r="J80" s="81"/>
    </row>
  </sheetData>
  <sheetProtection password="CBA5" sheet="1"/>
  <mergeCells count="71">
    <mergeCell ref="J32:K32"/>
    <mergeCell ref="F41:G41"/>
    <mergeCell ref="I18:J18"/>
    <mergeCell ref="I12:K12"/>
    <mergeCell ref="I21:K21"/>
    <mergeCell ref="I27:J27"/>
    <mergeCell ref="B27:C27"/>
    <mergeCell ref="B19:C19"/>
    <mergeCell ref="F32:G32"/>
    <mergeCell ref="B28:C28"/>
    <mergeCell ref="J31:L31"/>
    <mergeCell ref="B80:C80"/>
    <mergeCell ref="B79:C79"/>
    <mergeCell ref="B25:C25"/>
    <mergeCell ref="I25:J25"/>
    <mergeCell ref="B59:D59"/>
    <mergeCell ref="B31:D31"/>
    <mergeCell ref="B41:C41"/>
    <mergeCell ref="B47:C47"/>
    <mergeCell ref="J46:L46"/>
    <mergeCell ref="B45:L45"/>
    <mergeCell ref="B2:L2"/>
    <mergeCell ref="B15:C15"/>
    <mergeCell ref="I15:J15"/>
    <mergeCell ref="B16:C16"/>
    <mergeCell ref="B4:F4"/>
    <mergeCell ref="B21:F21"/>
    <mergeCell ref="B11:C11"/>
    <mergeCell ref="I10:J10"/>
    <mergeCell ref="B8:C8"/>
    <mergeCell ref="I9:J9"/>
    <mergeCell ref="S52:T52"/>
    <mergeCell ref="F47:G47"/>
    <mergeCell ref="J47:K47"/>
    <mergeCell ref="F46:H46"/>
    <mergeCell ref="B30:L30"/>
    <mergeCell ref="I23:J23"/>
    <mergeCell ref="F31:H31"/>
    <mergeCell ref="I24:J24"/>
    <mergeCell ref="B24:C24"/>
    <mergeCell ref="J41:K41"/>
    <mergeCell ref="B9:C9"/>
    <mergeCell ref="B14:C14"/>
    <mergeCell ref="B17:C17"/>
    <mergeCell ref="B12:F12"/>
    <mergeCell ref="I14:J14"/>
    <mergeCell ref="I8:J8"/>
    <mergeCell ref="I13:J13"/>
    <mergeCell ref="I16:J16"/>
    <mergeCell ref="B13:C13"/>
    <mergeCell ref="I17:J17"/>
    <mergeCell ref="I4:K4"/>
    <mergeCell ref="B5:C5"/>
    <mergeCell ref="I6:J6"/>
    <mergeCell ref="I7:J7"/>
    <mergeCell ref="A5:A28"/>
    <mergeCell ref="I26:J26"/>
    <mergeCell ref="B26:C26"/>
    <mergeCell ref="B6:C6"/>
    <mergeCell ref="I5:J5"/>
    <mergeCell ref="B7:C7"/>
    <mergeCell ref="B10:C10"/>
    <mergeCell ref="B56:C56"/>
    <mergeCell ref="F56:G56"/>
    <mergeCell ref="J56:K56"/>
    <mergeCell ref="B22:C22"/>
    <mergeCell ref="I22:J22"/>
    <mergeCell ref="B23:C23"/>
    <mergeCell ref="B18:C18"/>
    <mergeCell ref="B46:D46"/>
    <mergeCell ref="B32:C32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" fitToWidth="1" horizontalDpi="600" verticalDpi="600" orientation="landscape" pageOrder="overThenDown" paperSize="9" scale="42" r:id="rId2"/>
  <headerFooter alignWithMargins="0">
    <oddHeader>&amp;C&amp;P</oddHeader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2" width="9.140625" style="241" customWidth="1"/>
    <col min="3" max="3" width="15.57421875" style="241" customWidth="1"/>
    <col min="4" max="4" width="19.00390625" style="241" customWidth="1"/>
    <col min="5" max="5" width="18.57421875" style="241" customWidth="1"/>
    <col min="6" max="6" width="20.00390625" style="241" customWidth="1"/>
    <col min="7" max="16384" width="9.140625" style="241" customWidth="1"/>
  </cols>
  <sheetData>
    <row r="1" spans="2:6" ht="12.75">
      <c r="B1" s="418" t="s">
        <v>318</v>
      </c>
      <c r="C1" s="418"/>
      <c r="D1" s="418"/>
      <c r="E1" s="418"/>
      <c r="F1" s="418"/>
    </row>
    <row r="2" spans="2:6" ht="13.5" thickBot="1">
      <c r="B2" s="419"/>
      <c r="C2" s="419"/>
      <c r="D2" s="419"/>
      <c r="E2" s="419"/>
      <c r="F2" s="419"/>
    </row>
    <row r="3" spans="2:6" ht="32.25" thickBot="1">
      <c r="B3" s="420" t="s">
        <v>271</v>
      </c>
      <c r="C3" s="421" t="s">
        <v>268</v>
      </c>
      <c r="D3" s="242" t="s">
        <v>269</v>
      </c>
      <c r="E3" s="242" t="s">
        <v>270</v>
      </c>
      <c r="F3" s="243" t="s">
        <v>272</v>
      </c>
    </row>
    <row r="4" spans="2:6" ht="13.5" thickBot="1">
      <c r="B4" s="244"/>
      <c r="C4" s="245">
        <f>'Финансовый план СХК'!H30</f>
        <v>5674200</v>
      </c>
      <c r="D4" s="246"/>
      <c r="E4" s="255">
        <v>0.05</v>
      </c>
      <c r="F4" s="247"/>
    </row>
    <row r="5" spans="2:6" ht="12.75">
      <c r="B5" s="248">
        <v>1</v>
      </c>
      <c r="C5" s="249">
        <f>C4-D5</f>
        <v>5516583.333333333</v>
      </c>
      <c r="D5" s="249">
        <f>$C$4/36</f>
        <v>157616.66666666666</v>
      </c>
      <c r="E5" s="250">
        <f>C5*$E$4/12</f>
        <v>22985.76388888889</v>
      </c>
      <c r="F5" s="247">
        <f>D5+E5</f>
        <v>180602.43055555556</v>
      </c>
    </row>
    <row r="6" spans="2:6" ht="12.75">
      <c r="B6" s="248">
        <v>2</v>
      </c>
      <c r="C6" s="249">
        <f>C5-D6</f>
        <v>5358966.666666666</v>
      </c>
      <c r="D6" s="249">
        <f aca="true" t="shared" si="0" ref="D6:D40">$C$4/36</f>
        <v>157616.66666666666</v>
      </c>
      <c r="E6" s="249">
        <f>C6*$E$4/12</f>
        <v>22329.027777777777</v>
      </c>
      <c r="F6" s="247">
        <f aca="true" t="shared" si="1" ref="F6:F40">D6+E6</f>
        <v>179945.69444444444</v>
      </c>
    </row>
    <row r="7" spans="2:6" ht="12.75">
      <c r="B7" s="248">
        <v>3</v>
      </c>
      <c r="C7" s="249">
        <f aca="true" t="shared" si="2" ref="C7:C40">C6-D7</f>
        <v>5201349.999999999</v>
      </c>
      <c r="D7" s="249">
        <f t="shared" si="0"/>
        <v>157616.66666666666</v>
      </c>
      <c r="E7" s="249">
        <f>C7*$E$4/12</f>
        <v>21672.291666666664</v>
      </c>
      <c r="F7" s="247">
        <f t="shared" si="1"/>
        <v>179288.9583333333</v>
      </c>
    </row>
    <row r="8" spans="2:6" ht="12.75">
      <c r="B8" s="248">
        <v>4</v>
      </c>
      <c r="C8" s="249">
        <f t="shared" si="2"/>
        <v>5043733.333333332</v>
      </c>
      <c r="D8" s="249">
        <f t="shared" si="0"/>
        <v>157616.66666666666</v>
      </c>
      <c r="E8" s="249">
        <f aca="true" t="shared" si="3" ref="E8:E40">C8*$E$4/12</f>
        <v>21015.55555555555</v>
      </c>
      <c r="F8" s="247">
        <f t="shared" si="1"/>
        <v>178632.22222222222</v>
      </c>
    </row>
    <row r="9" spans="2:6" ht="12.75">
      <c r="B9" s="248">
        <v>5</v>
      </c>
      <c r="C9" s="249">
        <f t="shared" si="2"/>
        <v>4886116.666666665</v>
      </c>
      <c r="D9" s="249">
        <f t="shared" si="0"/>
        <v>157616.66666666666</v>
      </c>
      <c r="E9" s="249">
        <f t="shared" si="3"/>
        <v>20358.819444444438</v>
      </c>
      <c r="F9" s="247">
        <f t="shared" si="1"/>
        <v>177975.4861111111</v>
      </c>
    </row>
    <row r="10" spans="2:6" ht="12.75">
      <c r="B10" s="248">
        <v>6</v>
      </c>
      <c r="C10" s="249">
        <f t="shared" si="2"/>
        <v>4728499.999999998</v>
      </c>
      <c r="D10" s="249">
        <f t="shared" si="0"/>
        <v>157616.66666666666</v>
      </c>
      <c r="E10" s="249">
        <f t="shared" si="3"/>
        <v>19702.083333333325</v>
      </c>
      <c r="F10" s="247">
        <f t="shared" si="1"/>
        <v>177318.74999999997</v>
      </c>
    </row>
    <row r="11" spans="2:6" ht="12.75">
      <c r="B11" s="248">
        <v>7</v>
      </c>
      <c r="C11" s="249">
        <f t="shared" si="2"/>
        <v>4570883.333333331</v>
      </c>
      <c r="D11" s="249">
        <f t="shared" si="0"/>
        <v>157616.66666666666</v>
      </c>
      <c r="E11" s="249">
        <f t="shared" si="3"/>
        <v>19045.347222222215</v>
      </c>
      <c r="F11" s="247">
        <f t="shared" si="1"/>
        <v>176662.01388888888</v>
      </c>
    </row>
    <row r="12" spans="2:6" ht="12.75">
      <c r="B12" s="248">
        <v>8</v>
      </c>
      <c r="C12" s="249">
        <f t="shared" si="2"/>
        <v>4413266.666666664</v>
      </c>
      <c r="D12" s="249">
        <f t="shared" si="0"/>
        <v>157616.66666666666</v>
      </c>
      <c r="E12" s="249">
        <f t="shared" si="3"/>
        <v>18388.611111111102</v>
      </c>
      <c r="F12" s="247">
        <f t="shared" si="1"/>
        <v>176005.27777777775</v>
      </c>
    </row>
    <row r="13" spans="2:6" ht="12.75">
      <c r="B13" s="248">
        <v>9</v>
      </c>
      <c r="C13" s="249">
        <f t="shared" si="2"/>
        <v>4255649.999999997</v>
      </c>
      <c r="D13" s="249">
        <f t="shared" si="0"/>
        <v>157616.66666666666</v>
      </c>
      <c r="E13" s="249">
        <f t="shared" si="3"/>
        <v>17731.87499999999</v>
      </c>
      <c r="F13" s="247">
        <f t="shared" si="1"/>
        <v>175348.54166666666</v>
      </c>
    </row>
    <row r="14" spans="2:6" ht="12.75">
      <c r="B14" s="248">
        <v>10</v>
      </c>
      <c r="C14" s="249">
        <f t="shared" si="2"/>
        <v>4098033.3333333307</v>
      </c>
      <c r="D14" s="249">
        <f t="shared" si="0"/>
        <v>157616.66666666666</v>
      </c>
      <c r="E14" s="249">
        <f t="shared" si="3"/>
        <v>17075.13888888888</v>
      </c>
      <c r="F14" s="247">
        <f t="shared" si="1"/>
        <v>174691.80555555553</v>
      </c>
    </row>
    <row r="15" spans="2:6" ht="12.75">
      <c r="B15" s="248">
        <v>11</v>
      </c>
      <c r="C15" s="249">
        <f t="shared" si="2"/>
        <v>3940416.666666664</v>
      </c>
      <c r="D15" s="249">
        <f t="shared" si="0"/>
        <v>157616.66666666666</v>
      </c>
      <c r="E15" s="249">
        <f t="shared" si="3"/>
        <v>16418.40277777777</v>
      </c>
      <c r="F15" s="247">
        <f t="shared" si="1"/>
        <v>174035.06944444444</v>
      </c>
    </row>
    <row r="16" spans="2:6" ht="12.75">
      <c r="B16" s="248">
        <v>12</v>
      </c>
      <c r="C16" s="249">
        <f t="shared" si="2"/>
        <v>3782799.9999999977</v>
      </c>
      <c r="D16" s="249">
        <f t="shared" si="0"/>
        <v>157616.66666666666</v>
      </c>
      <c r="E16" s="249">
        <f t="shared" si="3"/>
        <v>15761.666666666657</v>
      </c>
      <c r="F16" s="247">
        <f t="shared" si="1"/>
        <v>173378.3333333333</v>
      </c>
    </row>
    <row r="17" spans="2:6" ht="12.75">
      <c r="B17" s="248">
        <v>13</v>
      </c>
      <c r="C17" s="249">
        <f t="shared" si="2"/>
        <v>3625183.333333331</v>
      </c>
      <c r="D17" s="249">
        <f t="shared" si="0"/>
        <v>157616.66666666666</v>
      </c>
      <c r="E17" s="249">
        <f t="shared" si="3"/>
        <v>15104.930555555547</v>
      </c>
      <c r="F17" s="247">
        <f t="shared" si="1"/>
        <v>172721.5972222222</v>
      </c>
    </row>
    <row r="18" spans="2:10" ht="12.75">
      <c r="B18" s="248">
        <v>14</v>
      </c>
      <c r="C18" s="249">
        <f t="shared" si="2"/>
        <v>3467566.6666666646</v>
      </c>
      <c r="D18" s="249">
        <f t="shared" si="0"/>
        <v>157616.66666666666</v>
      </c>
      <c r="E18" s="249">
        <f t="shared" si="3"/>
        <v>14448.194444444438</v>
      </c>
      <c r="F18" s="247">
        <f t="shared" si="1"/>
        <v>172064.8611111111</v>
      </c>
      <c r="J18" s="251"/>
    </row>
    <row r="19" spans="2:6" ht="12.75">
      <c r="B19" s="248">
        <v>15</v>
      </c>
      <c r="C19" s="249">
        <f t="shared" si="2"/>
        <v>3309949.999999998</v>
      </c>
      <c r="D19" s="249">
        <f t="shared" si="0"/>
        <v>157616.66666666666</v>
      </c>
      <c r="E19" s="249">
        <f t="shared" si="3"/>
        <v>13791.458333333327</v>
      </c>
      <c r="F19" s="247">
        <f t="shared" si="1"/>
        <v>171408.12499999997</v>
      </c>
    </row>
    <row r="20" spans="2:6" ht="12.75">
      <c r="B20" s="248">
        <v>16</v>
      </c>
      <c r="C20" s="249">
        <f t="shared" si="2"/>
        <v>3152333.3333333316</v>
      </c>
      <c r="D20" s="249">
        <f t="shared" si="0"/>
        <v>157616.66666666666</v>
      </c>
      <c r="E20" s="249">
        <f t="shared" si="3"/>
        <v>13134.722222222217</v>
      </c>
      <c r="F20" s="247">
        <f t="shared" si="1"/>
        <v>170751.38888888888</v>
      </c>
    </row>
    <row r="21" spans="2:6" ht="12.75">
      <c r="B21" s="248">
        <v>17</v>
      </c>
      <c r="C21" s="249">
        <f t="shared" si="2"/>
        <v>2994716.666666665</v>
      </c>
      <c r="D21" s="249">
        <f t="shared" si="0"/>
        <v>157616.66666666666</v>
      </c>
      <c r="E21" s="249">
        <f t="shared" si="3"/>
        <v>12477.986111111104</v>
      </c>
      <c r="F21" s="247">
        <f t="shared" si="1"/>
        <v>170094.65277777775</v>
      </c>
    </row>
    <row r="22" spans="2:6" ht="12.75">
      <c r="B22" s="248">
        <v>18</v>
      </c>
      <c r="C22" s="249">
        <f t="shared" si="2"/>
        <v>2837099.9999999986</v>
      </c>
      <c r="D22" s="249">
        <f t="shared" si="0"/>
        <v>157616.66666666666</v>
      </c>
      <c r="E22" s="249">
        <f t="shared" si="3"/>
        <v>11821.249999999995</v>
      </c>
      <c r="F22" s="247">
        <f t="shared" si="1"/>
        <v>169437.91666666666</v>
      </c>
    </row>
    <row r="23" spans="2:6" ht="12.75">
      <c r="B23" s="248">
        <v>19</v>
      </c>
      <c r="C23" s="249">
        <f t="shared" si="2"/>
        <v>2679483.333333332</v>
      </c>
      <c r="D23" s="249">
        <f t="shared" si="0"/>
        <v>157616.66666666666</v>
      </c>
      <c r="E23" s="249">
        <f t="shared" si="3"/>
        <v>11164.513888888883</v>
      </c>
      <c r="F23" s="247">
        <f t="shared" si="1"/>
        <v>168781.18055555553</v>
      </c>
    </row>
    <row r="24" spans="2:6" ht="12.75">
      <c r="B24" s="248">
        <v>20</v>
      </c>
      <c r="C24" s="249">
        <f t="shared" si="2"/>
        <v>2521866.6666666656</v>
      </c>
      <c r="D24" s="249">
        <f t="shared" si="0"/>
        <v>157616.66666666666</v>
      </c>
      <c r="E24" s="249">
        <f t="shared" si="3"/>
        <v>10507.777777777774</v>
      </c>
      <c r="F24" s="247">
        <f t="shared" si="1"/>
        <v>168124.44444444444</v>
      </c>
    </row>
    <row r="25" spans="2:6" ht="12.75">
      <c r="B25" s="248">
        <v>21</v>
      </c>
      <c r="C25" s="249">
        <f t="shared" si="2"/>
        <v>2364249.999999999</v>
      </c>
      <c r="D25" s="249">
        <f t="shared" si="0"/>
        <v>157616.66666666666</v>
      </c>
      <c r="E25" s="249">
        <f t="shared" si="3"/>
        <v>9851.041666666662</v>
      </c>
      <c r="F25" s="247">
        <f t="shared" si="1"/>
        <v>167467.7083333333</v>
      </c>
    </row>
    <row r="26" spans="2:6" ht="12.75">
      <c r="B26" s="248">
        <v>22</v>
      </c>
      <c r="C26" s="249">
        <f t="shared" si="2"/>
        <v>2206633.3333333326</v>
      </c>
      <c r="D26" s="249">
        <f t="shared" si="0"/>
        <v>157616.66666666666</v>
      </c>
      <c r="E26" s="249">
        <f t="shared" si="3"/>
        <v>9194.305555555553</v>
      </c>
      <c r="F26" s="247">
        <f t="shared" si="1"/>
        <v>166810.97222222222</v>
      </c>
    </row>
    <row r="27" spans="2:6" ht="12.75">
      <c r="B27" s="248">
        <v>23</v>
      </c>
      <c r="C27" s="249">
        <f t="shared" si="2"/>
        <v>2049016.6666666658</v>
      </c>
      <c r="D27" s="249">
        <f t="shared" si="0"/>
        <v>157616.66666666666</v>
      </c>
      <c r="E27" s="249">
        <f t="shared" si="3"/>
        <v>8537.569444444442</v>
      </c>
      <c r="F27" s="247">
        <f t="shared" si="1"/>
        <v>166154.2361111111</v>
      </c>
    </row>
    <row r="28" spans="2:6" ht="12.75">
      <c r="B28" s="248">
        <v>24</v>
      </c>
      <c r="C28" s="249">
        <f t="shared" si="2"/>
        <v>1891399.999999999</v>
      </c>
      <c r="D28" s="249">
        <f t="shared" si="0"/>
        <v>157616.66666666666</v>
      </c>
      <c r="E28" s="249">
        <f t="shared" si="3"/>
        <v>7880.833333333329</v>
      </c>
      <c r="F28" s="247">
        <f t="shared" si="1"/>
        <v>165497.5</v>
      </c>
    </row>
    <row r="29" spans="2:6" ht="12.75">
      <c r="B29" s="248">
        <v>25</v>
      </c>
      <c r="C29" s="249">
        <f t="shared" si="2"/>
        <v>1733783.3333333323</v>
      </c>
      <c r="D29" s="249">
        <f t="shared" si="0"/>
        <v>157616.66666666666</v>
      </c>
      <c r="E29" s="249">
        <f t="shared" si="3"/>
        <v>7224.097222222219</v>
      </c>
      <c r="F29" s="247">
        <f t="shared" si="1"/>
        <v>164840.76388888888</v>
      </c>
    </row>
    <row r="30" spans="2:6" ht="12.75">
      <c r="B30" s="248">
        <v>26</v>
      </c>
      <c r="C30" s="249">
        <f t="shared" si="2"/>
        <v>1576166.6666666656</v>
      </c>
      <c r="D30" s="249">
        <f t="shared" si="0"/>
        <v>157616.66666666666</v>
      </c>
      <c r="E30" s="249">
        <f t="shared" si="3"/>
        <v>6567.361111111107</v>
      </c>
      <c r="F30" s="247">
        <f t="shared" si="1"/>
        <v>164184.02777777775</v>
      </c>
    </row>
    <row r="31" spans="2:6" ht="12.75">
      <c r="B31" s="248">
        <v>27</v>
      </c>
      <c r="C31" s="249">
        <f t="shared" si="2"/>
        <v>1418549.9999999988</v>
      </c>
      <c r="D31" s="249">
        <f t="shared" si="0"/>
        <v>157616.66666666666</v>
      </c>
      <c r="E31" s="249">
        <f t="shared" si="3"/>
        <v>5910.624999999995</v>
      </c>
      <c r="F31" s="247">
        <f t="shared" si="1"/>
        <v>163527.29166666666</v>
      </c>
    </row>
    <row r="32" spans="2:6" ht="12.75">
      <c r="B32" s="248">
        <v>28</v>
      </c>
      <c r="C32" s="249">
        <f t="shared" si="2"/>
        <v>1260933.333333332</v>
      </c>
      <c r="D32" s="249">
        <f t="shared" si="0"/>
        <v>157616.66666666666</v>
      </c>
      <c r="E32" s="249">
        <f t="shared" si="3"/>
        <v>5253.888888888884</v>
      </c>
      <c r="F32" s="247">
        <f t="shared" si="1"/>
        <v>162870.55555555553</v>
      </c>
    </row>
    <row r="33" spans="2:6" ht="12.75">
      <c r="B33" s="248">
        <v>29</v>
      </c>
      <c r="C33" s="249">
        <f t="shared" si="2"/>
        <v>1103316.6666666653</v>
      </c>
      <c r="D33" s="249">
        <f t="shared" si="0"/>
        <v>157616.66666666666</v>
      </c>
      <c r="E33" s="249">
        <f t="shared" si="3"/>
        <v>4597.152777777773</v>
      </c>
      <c r="F33" s="247">
        <f t="shared" si="1"/>
        <v>162213.81944444444</v>
      </c>
    </row>
    <row r="34" spans="2:6" ht="12.75">
      <c r="B34" s="248">
        <v>30</v>
      </c>
      <c r="C34" s="249">
        <f t="shared" si="2"/>
        <v>945699.9999999987</v>
      </c>
      <c r="D34" s="249">
        <f t="shared" si="0"/>
        <v>157616.66666666666</v>
      </c>
      <c r="E34" s="249">
        <f t="shared" si="3"/>
        <v>3940.416666666662</v>
      </c>
      <c r="F34" s="247">
        <f t="shared" si="1"/>
        <v>161557.0833333333</v>
      </c>
    </row>
    <row r="35" spans="2:6" ht="12.75">
      <c r="B35" s="248">
        <v>31</v>
      </c>
      <c r="C35" s="249">
        <f t="shared" si="2"/>
        <v>788083.3333333321</v>
      </c>
      <c r="D35" s="249">
        <f t="shared" si="0"/>
        <v>157616.66666666666</v>
      </c>
      <c r="E35" s="249">
        <f t="shared" si="3"/>
        <v>3283.6805555555507</v>
      </c>
      <c r="F35" s="247">
        <f t="shared" si="1"/>
        <v>160900.34722222222</v>
      </c>
    </row>
    <row r="36" spans="2:6" ht="12.75">
      <c r="B36" s="248">
        <v>32</v>
      </c>
      <c r="C36" s="249">
        <f t="shared" si="2"/>
        <v>630466.6666666655</v>
      </c>
      <c r="D36" s="249">
        <f t="shared" si="0"/>
        <v>157616.66666666666</v>
      </c>
      <c r="E36" s="249">
        <f t="shared" si="3"/>
        <v>2626.9444444444393</v>
      </c>
      <c r="F36" s="247">
        <f t="shared" si="1"/>
        <v>160243.6111111111</v>
      </c>
    </row>
    <row r="37" spans="2:6" ht="12.75">
      <c r="B37" s="248">
        <v>33</v>
      </c>
      <c r="C37" s="249">
        <f t="shared" si="2"/>
        <v>472849.99999999884</v>
      </c>
      <c r="D37" s="249">
        <f t="shared" si="0"/>
        <v>157616.66666666666</v>
      </c>
      <c r="E37" s="249">
        <f t="shared" si="3"/>
        <v>1970.2083333333285</v>
      </c>
      <c r="F37" s="247">
        <f t="shared" si="1"/>
        <v>159586.875</v>
      </c>
    </row>
    <row r="38" spans="2:6" ht="12.75">
      <c r="B38" s="248">
        <v>34</v>
      </c>
      <c r="C38" s="249">
        <f t="shared" si="2"/>
        <v>315233.3333333322</v>
      </c>
      <c r="D38" s="249">
        <f t="shared" si="0"/>
        <v>157616.66666666666</v>
      </c>
      <c r="E38" s="249">
        <f t="shared" si="3"/>
        <v>1313.4722222222176</v>
      </c>
      <c r="F38" s="247">
        <f t="shared" si="1"/>
        <v>158930.13888888888</v>
      </c>
    </row>
    <row r="39" spans="2:6" ht="12.75">
      <c r="B39" s="248">
        <v>35</v>
      </c>
      <c r="C39" s="249">
        <f t="shared" si="2"/>
        <v>157616.66666666555</v>
      </c>
      <c r="D39" s="249">
        <f t="shared" si="0"/>
        <v>157616.66666666666</v>
      </c>
      <c r="E39" s="249">
        <f t="shared" si="3"/>
        <v>656.7361111111064</v>
      </c>
      <c r="F39" s="247">
        <f t="shared" si="1"/>
        <v>158273.40277777775</v>
      </c>
    </row>
    <row r="40" spans="2:6" ht="13.5" thickBot="1">
      <c r="B40" s="252">
        <v>36</v>
      </c>
      <c r="C40" s="253">
        <f t="shared" si="2"/>
        <v>-1.1059455573558807E-09</v>
      </c>
      <c r="D40" s="253">
        <f t="shared" si="0"/>
        <v>157616.66666666666</v>
      </c>
      <c r="E40" s="253">
        <f t="shared" si="3"/>
        <v>-4.608106488982837E-12</v>
      </c>
      <c r="F40" s="254">
        <f t="shared" si="1"/>
        <v>157616.66666666666</v>
      </c>
    </row>
  </sheetData>
  <sheetProtection/>
  <mergeCells count="2">
    <mergeCell ref="B1:F2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Рохлин Алексей Александрович</dc:creator>
  <cp:keywords/>
  <dc:description/>
  <cp:lastModifiedBy>Рохлин Алексей Александрович</cp:lastModifiedBy>
  <cp:lastPrinted>2019-09-03T08:30:01Z</cp:lastPrinted>
  <dcterms:created xsi:type="dcterms:W3CDTF">2019-01-14T10:10:27Z</dcterms:created>
  <dcterms:modified xsi:type="dcterms:W3CDTF">2019-09-03T08:30:38Z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-708032025</vt:i4>
  </property>
  <property fmtid="{D5CDD505-2E9C-101B-9397-08002B2CF9AE}" pid="3" name="_NewReviewCycle">
    <vt:lpwstr/>
  </property>
  <property fmtid="{D5CDD505-2E9C-101B-9397-08002B2CF9AE}" pid="4" name="_EmailSubject">
    <vt:lpwstr>Сайт правки</vt:lpwstr>
  </property>
  <property fmtid="{D5CDD505-2E9C-101B-9397-08002B2CF9AE}" pid="5" name="_AuthorEmail">
    <vt:lpwstr>tvs@sofp.ru</vt:lpwstr>
  </property>
  <property fmtid="{D5CDD505-2E9C-101B-9397-08002B2CF9AE}" pid="6" name="_AuthorEmailDisplayName">
    <vt:lpwstr>Стыцюк Татьяна Владимировна</vt:lpwstr>
  </property>
</Properties>
</file>